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57" activeTab="0"/>
  </bookViews>
  <sheets>
    <sheet name="PVC vs DI" sheetId="1" r:id="rId1"/>
    <sheet name="PVC vs DI Chart" sheetId="2" r:id="rId2"/>
    <sheet name="Cost Tables" sheetId="3" state="hidden" r:id="rId3"/>
  </sheets>
  <definedNames>
    <definedName name="_xlnm.Print_Area" localSheetId="0">'PVC vs DI'!$A$1:$K$55</definedName>
  </definedNames>
  <calcPr fullCalcOnLoad="1"/>
</workbook>
</file>

<file path=xl/sharedStrings.xml><?xml version="1.0" encoding="utf-8"?>
<sst xmlns="http://schemas.openxmlformats.org/spreadsheetml/2006/main" count="129" uniqueCount="69">
  <si>
    <t>Diameter</t>
  </si>
  <si>
    <t>($/LF)</t>
  </si>
  <si>
    <t>(IN)</t>
  </si>
  <si>
    <t>PC 350 Pipe</t>
  </si>
  <si>
    <t>Ductile Iron</t>
  </si>
  <si>
    <t>PC 250 Pipe</t>
  </si>
  <si>
    <t>Notes:</t>
  </si>
  <si>
    <t xml:space="preserve">PVC C900/905 </t>
  </si>
  <si>
    <t>DR 18 Pipe</t>
  </si>
  <si>
    <t>PVC C905</t>
  </si>
  <si>
    <t>DR 25 Pipe</t>
  </si>
  <si>
    <t>Pipe Size</t>
  </si>
  <si>
    <t>Total Length</t>
  </si>
  <si>
    <t>Install Rate</t>
  </si>
  <si>
    <t>Backfill Cost</t>
  </si>
  <si>
    <t>Total Installed Cost</t>
  </si>
  <si>
    <t>(LF)</t>
  </si>
  <si>
    <t>(Total $)</t>
  </si>
  <si>
    <t>Total</t>
  </si>
  <si>
    <t>Material Cost</t>
  </si>
  <si>
    <t xml:space="preserve">    Labor &amp; Equipment Cost</t>
  </si>
  <si>
    <t>(LF/HR)</t>
  </si>
  <si>
    <t>COST COMPARISON SUMMARY:</t>
  </si>
  <si>
    <t>PVC vs. Ductile Iron Installed Cost Comparison</t>
  </si>
  <si>
    <t>ESTIMATED INSTALLED COST OF DUCTILE IRON PIPE:</t>
  </si>
  <si>
    <t>ESTIMATED INSTALLED COST OF C900/C905 PVC PIPE:</t>
  </si>
  <si>
    <t>Labor &amp; Equipment Cost</t>
  </si>
  <si>
    <t>C900/C905 PVC</t>
  </si>
  <si>
    <t>Cost Savings</t>
  </si>
  <si>
    <t>Pipe Material Cost:</t>
  </si>
  <si>
    <t>Labor &amp; Equipment Cost:</t>
  </si>
  <si>
    <t>Item</t>
  </si>
  <si>
    <t>Laborer</t>
  </si>
  <si>
    <t>Operator</t>
  </si>
  <si>
    <t>CAT 330 Excavator</t>
  </si>
  <si>
    <t>CAT 966G Wheel Tire Loader</t>
  </si>
  <si>
    <t>Total ($/HR):</t>
  </si>
  <si>
    <t>1.  Foreman rate equals Operator rate plus 15%</t>
  </si>
  <si>
    <t>Install Rates:</t>
  </si>
  <si>
    <t xml:space="preserve">Ductile Iron PC </t>
  </si>
  <si>
    <t>or</t>
  </si>
  <si>
    <t>Density (LBS/FT^3)</t>
  </si>
  <si>
    <t>$/Ton</t>
  </si>
  <si>
    <t>$/CY</t>
  </si>
  <si>
    <t>BACKFILL COST &amp; SCENARIO</t>
  </si>
  <si>
    <t>Springline of Pipe (1/2 Dia)</t>
  </si>
  <si>
    <t>Top of Pipe</t>
  </si>
  <si>
    <t>6" Above Top of Pipe</t>
  </si>
  <si>
    <t>12" Above Top of Pipe</t>
  </si>
  <si>
    <t xml:space="preserve">Backfill Cost &amp; Scenario:  </t>
  </si>
  <si>
    <t>Extended Cost        ($/LF)</t>
  </si>
  <si>
    <t>Unit Cost         ($/LF)</t>
  </si>
  <si>
    <t>Qty                  (EA)</t>
  </si>
  <si>
    <t>Diameter      (IN)</t>
  </si>
  <si>
    <t>3" Bedding Only</t>
  </si>
  <si>
    <t>OD                    (IN)</t>
  </si>
  <si>
    <r>
      <t>Foreman</t>
    </r>
    <r>
      <rPr>
        <vertAlign val="superscript"/>
        <sz val="8"/>
        <rFont val="Arial"/>
        <family val="2"/>
      </rPr>
      <t>1</t>
    </r>
  </si>
  <si>
    <t xml:space="preserve">2.  Labor rates based on RS Means: Labor Rate for Construction Industry, 36th Edition </t>
  </si>
  <si>
    <t>3.  Equipment rates based on Rental Rate Blue Book for Construction Equipment, Volume 1</t>
  </si>
  <si>
    <t>3.  All stated prices are marked up 20% to accomadate distribution margins and market price fluctuations</t>
  </si>
  <si>
    <t>1.  PVC pipe prices obtained on 2/7/11 and represent JM Eagle Block 45</t>
  </si>
  <si>
    <t xml:space="preserve">2.  Ductile Iron pipe prices obtained 2/7/11 </t>
  </si>
  <si>
    <t>4. PVC C900 referrs to 4" - 12"  diameter pipe</t>
  </si>
  <si>
    <t>5. PVC C905 referrs to 14" - 48" diameter pipe</t>
  </si>
  <si>
    <t>6. DR 18 PVC pipe rated at 235 psi</t>
  </si>
  <si>
    <t>7. DR 25 PVC pipe rated at 165 psi</t>
  </si>
  <si>
    <t>8. Ductile Iron PC 350 pipe is rated at 350 psi</t>
  </si>
  <si>
    <t>9. Ductile Iron PC 250 pipe is rated at 250 psi</t>
  </si>
  <si>
    <t>THE ABOVE COST COMPARISON CALCULATIONS ARE ESTIMATES BASED ON INFORMATION THAT WAS PROVIDED TO JM EAGLE .  JM EAGLE HAS NOT PERFORMED ANY ENGINEERING OR DESIGN SERVICES  FOR THIS PROJECT.  IT IS THE RESPONSIBILITY OF THE PROJECT DESIGN ENGINEER TO ENSURE THAT THE ABOVE DETAILS MEET THE APPLICABLE NATIONAL, STATE, OR LOCAL REQUIREMENTS AND CODES FOR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</si>
</sst>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quot;$&quot;#,##0"/>
  </numFmts>
  <fonts count="50">
    <font>
      <sz val="10"/>
      <name val="Arial"/>
      <family val="0"/>
    </font>
    <font>
      <b/>
      <sz val="10"/>
      <name val="Arial"/>
      <family val="2"/>
    </font>
    <font>
      <sz val="8"/>
      <name val="Arial"/>
      <family val="2"/>
    </font>
    <font>
      <b/>
      <sz val="8"/>
      <name val="Arial"/>
      <family val="2"/>
    </font>
    <font>
      <b/>
      <sz val="16"/>
      <name val="Arial"/>
      <family val="2"/>
    </font>
    <font>
      <b/>
      <sz val="8"/>
      <color indexed="1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sz val="12"/>
      <name val="Arial"/>
      <family val="2"/>
    </font>
    <font>
      <vertAlign val="superscript"/>
      <sz val="8"/>
      <name val="Arial"/>
      <family val="2"/>
    </font>
    <font>
      <sz val="10"/>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double"/>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xf>
    <xf numFmtId="0" fontId="3" fillId="32" borderId="10" xfId="0" applyFont="1" applyFill="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64" fontId="2" fillId="0" borderId="0" xfId="0" applyNumberFormat="1" applyFont="1" applyAlignment="1">
      <alignment/>
    </xf>
    <xf numFmtId="0" fontId="3" fillId="32" borderId="11" xfId="0" applyFont="1" applyFill="1" applyBorder="1" applyAlignment="1">
      <alignment horizontal="center"/>
    </xf>
    <xf numFmtId="0" fontId="3" fillId="33" borderId="11" xfId="0" applyFont="1" applyFill="1" applyBorder="1" applyAlignment="1">
      <alignment horizontal="center"/>
    </xf>
    <xf numFmtId="0" fontId="3" fillId="34" borderId="11" xfId="0" applyFont="1" applyFill="1" applyBorder="1" applyAlignment="1">
      <alignment horizontal="center"/>
    </xf>
    <xf numFmtId="0" fontId="3" fillId="32" borderId="12" xfId="0" applyFont="1" applyFill="1" applyBorder="1" applyAlignment="1">
      <alignment horizontal="center"/>
    </xf>
    <xf numFmtId="0" fontId="3" fillId="33" borderId="12" xfId="0" applyFont="1" applyFill="1" applyBorder="1" applyAlignment="1">
      <alignment horizontal="center"/>
    </xf>
    <xf numFmtId="0" fontId="3" fillId="34" borderId="12" xfId="0" applyFont="1" applyFill="1" applyBorder="1" applyAlignment="1">
      <alignment horizontal="center"/>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Fill="1" applyBorder="1" applyAlignment="1">
      <alignment horizontal="center"/>
    </xf>
    <xf numFmtId="0" fontId="0" fillId="0" borderId="13" xfId="0" applyBorder="1" applyAlignment="1">
      <alignment/>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Border="1" applyAlignment="1">
      <alignment/>
    </xf>
    <xf numFmtId="168" fontId="3" fillId="32" borderId="13" xfId="0" applyNumberFormat="1" applyFont="1" applyFill="1" applyBorder="1" applyAlignment="1">
      <alignment horizontal="center"/>
    </xf>
    <xf numFmtId="2" fontId="2" fillId="0" borderId="13" xfId="0" applyNumberFormat="1" applyFont="1" applyBorder="1" applyAlignment="1">
      <alignment horizontal="center"/>
    </xf>
    <xf numFmtId="0" fontId="3" fillId="0" borderId="0" xfId="0" applyFont="1" applyAlignment="1">
      <alignment/>
    </xf>
    <xf numFmtId="1" fontId="2" fillId="0" borderId="13" xfId="0" applyNumberFormat="1" applyFont="1" applyBorder="1" applyAlignment="1">
      <alignment horizontal="center"/>
    </xf>
    <xf numFmtId="1" fontId="0" fillId="0" borderId="13" xfId="0" applyNumberFormat="1" applyBorder="1" applyAlignment="1">
      <alignment horizontal="center"/>
    </xf>
    <xf numFmtId="0" fontId="3"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0" borderId="0" xfId="0" applyFont="1" applyBorder="1" applyAlignment="1">
      <alignment/>
    </xf>
    <xf numFmtId="0" fontId="0" fillId="0" borderId="0" xfId="0" applyBorder="1" applyAlignment="1">
      <alignment/>
    </xf>
    <xf numFmtId="2" fontId="2" fillId="0" borderId="0" xfId="0" applyNumberFormat="1" applyFont="1" applyFill="1" applyBorder="1" applyAlignment="1">
      <alignment/>
    </xf>
    <xf numFmtId="1" fontId="2" fillId="0" borderId="0" xfId="0" applyNumberFormat="1" applyFont="1" applyFill="1" applyBorder="1" applyAlignment="1">
      <alignment/>
    </xf>
    <xf numFmtId="0" fontId="0" fillId="0" borderId="0" xfId="0" applyFill="1" applyBorder="1" applyAlignment="1">
      <alignment horizontal="center"/>
    </xf>
    <xf numFmtId="2" fontId="2" fillId="0" borderId="0" xfId="0" applyNumberFormat="1" applyFont="1" applyFill="1" applyBorder="1" applyAlignment="1">
      <alignment/>
    </xf>
    <xf numFmtId="2" fontId="2" fillId="0" borderId="0" xfId="0" applyNumberFormat="1" applyFont="1" applyAlignment="1">
      <alignment/>
    </xf>
    <xf numFmtId="2" fontId="0" fillId="0" borderId="0" xfId="0" applyNumberFormat="1" applyBorder="1" applyAlignment="1">
      <alignment horizont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xf>
    <xf numFmtId="164" fontId="2" fillId="0" borderId="0" xfId="0" applyNumberFormat="1" applyFont="1" applyAlignment="1">
      <alignment/>
    </xf>
    <xf numFmtId="2" fontId="2" fillId="0" borderId="0" xfId="0" applyNumberFormat="1" applyFont="1" applyAlignment="1">
      <alignment/>
    </xf>
    <xf numFmtId="0" fontId="2" fillId="0" borderId="13" xfId="0" applyFont="1" applyFill="1" applyBorder="1" applyAlignment="1">
      <alignment horizontal="center"/>
    </xf>
    <xf numFmtId="0" fontId="0" fillId="0" borderId="0" xfId="0" applyAlignment="1" applyProtection="1">
      <alignment/>
      <protection hidden="1"/>
    </xf>
    <xf numFmtId="0" fontId="10" fillId="0" borderId="0" xfId="0" applyFont="1" applyAlignment="1" applyProtection="1">
      <alignment/>
      <protection hidden="1"/>
    </xf>
    <xf numFmtId="0" fontId="0" fillId="0" borderId="0" xfId="0" applyFont="1" applyAlignment="1" applyProtection="1">
      <alignment/>
      <protection hidden="1"/>
    </xf>
    <xf numFmtId="0" fontId="3" fillId="35" borderId="14" xfId="0" applyFont="1" applyFill="1" applyBorder="1" applyAlignment="1" applyProtection="1">
      <alignment horizontal="center"/>
      <protection hidden="1"/>
    </xf>
    <xf numFmtId="0" fontId="3" fillId="35" borderId="13" xfId="0" applyFont="1" applyFill="1" applyBorder="1" applyAlignment="1" applyProtection="1">
      <alignment horizontal="center"/>
      <protection hidden="1"/>
    </xf>
    <xf numFmtId="0" fontId="3" fillId="35" borderId="12" xfId="0" applyFont="1" applyFill="1" applyBorder="1" applyAlignment="1" applyProtection="1">
      <alignment horizontal="center"/>
      <protection hidden="1"/>
    </xf>
    <xf numFmtId="44" fontId="2" fillId="0" borderId="11" xfId="44" applyNumberFormat="1" applyFont="1" applyFill="1" applyBorder="1" applyAlignment="1" applyProtection="1">
      <alignment/>
      <protection hidden="1"/>
    </xf>
    <xf numFmtId="1" fontId="2" fillId="0" borderId="11" xfId="0" applyNumberFormat="1" applyFont="1" applyFill="1" applyBorder="1" applyAlignment="1" applyProtection="1">
      <alignment horizontal="center"/>
      <protection hidden="1"/>
    </xf>
    <xf numFmtId="168" fontId="2" fillId="0" borderId="11" xfId="44" applyNumberFormat="1"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44" fontId="2" fillId="0" borderId="15" xfId="44" applyNumberFormat="1" applyFont="1" applyFill="1" applyBorder="1" applyAlignment="1" applyProtection="1">
      <alignment/>
      <protection hidden="1"/>
    </xf>
    <xf numFmtId="0" fontId="2" fillId="0" borderId="15" xfId="0" applyFont="1" applyFill="1" applyBorder="1" applyAlignment="1" applyProtection="1">
      <alignment horizontal="center"/>
      <protection hidden="1"/>
    </xf>
    <xf numFmtId="168" fontId="2" fillId="0" borderId="15" xfId="44" applyNumberFormat="1" applyFont="1" applyFill="1" applyBorder="1" applyAlignment="1" applyProtection="1">
      <alignment horizontal="center"/>
      <protection hidden="1"/>
    </xf>
    <xf numFmtId="168" fontId="1" fillId="0" borderId="16" xfId="0" applyNumberFormat="1" applyFont="1" applyFill="1" applyBorder="1" applyAlignment="1" applyProtection="1">
      <alignment horizontal="right"/>
      <protection hidden="1"/>
    </xf>
    <xf numFmtId="44" fontId="1" fillId="0" borderId="16" xfId="44" applyNumberFormat="1" applyFont="1" applyFill="1" applyBorder="1" applyAlignment="1" applyProtection="1">
      <alignment/>
      <protection hidden="1"/>
    </xf>
    <xf numFmtId="0" fontId="1" fillId="0" borderId="16" xfId="0" applyFont="1" applyFill="1" applyBorder="1" applyAlignment="1" applyProtection="1">
      <alignment/>
      <protection hidden="1"/>
    </xf>
    <xf numFmtId="43" fontId="1" fillId="0" borderId="16" xfId="0" applyNumberFormat="1" applyFont="1" applyFill="1" applyBorder="1" applyAlignment="1" applyProtection="1">
      <alignment horizontal="right"/>
      <protection hidden="1"/>
    </xf>
    <xf numFmtId="168" fontId="1" fillId="0" borderId="17" xfId="0" applyNumberFormat="1" applyFont="1" applyFill="1" applyBorder="1" applyAlignment="1" applyProtection="1">
      <alignment horizontal="right"/>
      <protection hidden="1"/>
    </xf>
    <xf numFmtId="44" fontId="1" fillId="0" borderId="17" xfId="44" applyNumberFormat="1" applyFont="1" applyFill="1" applyBorder="1" applyAlignment="1" applyProtection="1">
      <alignment/>
      <protection hidden="1"/>
    </xf>
    <xf numFmtId="0" fontId="1" fillId="0" borderId="17" xfId="0" applyFont="1" applyFill="1" applyBorder="1" applyAlignment="1" applyProtection="1">
      <alignment/>
      <protection hidden="1"/>
    </xf>
    <xf numFmtId="43" fontId="1" fillId="0" borderId="17" xfId="0" applyNumberFormat="1" applyFont="1" applyFill="1" applyBorder="1" applyAlignment="1" applyProtection="1">
      <alignment horizontal="right"/>
      <protection hidden="1"/>
    </xf>
    <xf numFmtId="0" fontId="3" fillId="0" borderId="0" xfId="0" applyFont="1" applyAlignment="1" applyProtection="1">
      <alignment/>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5" fillId="0" borderId="21" xfId="0" applyFont="1" applyFill="1" applyBorder="1" applyAlignment="1" applyProtection="1">
      <alignment horizontal="left" vertical="center"/>
      <protection hidden="1"/>
    </xf>
    <xf numFmtId="168" fontId="5" fillId="0" borderId="22" xfId="0" applyNumberFormat="1" applyFont="1" applyFill="1" applyBorder="1" applyAlignment="1" applyProtection="1">
      <alignment horizontal="right" vertical="center"/>
      <protection hidden="1"/>
    </xf>
    <xf numFmtId="44" fontId="3" fillId="0" borderId="21" xfId="0" applyNumberFormat="1" applyFont="1" applyFill="1" applyBorder="1" applyAlignment="1" applyProtection="1">
      <alignment horizontal="right" vertical="center"/>
      <protection hidden="1"/>
    </xf>
    <xf numFmtId="0" fontId="6" fillId="0" borderId="20" xfId="0" applyFont="1" applyFill="1" applyBorder="1" applyAlignment="1" applyProtection="1">
      <alignment horizontal="left" vertical="center" indent="1"/>
      <protection hidden="1"/>
    </xf>
    <xf numFmtId="44" fontId="6" fillId="0" borderId="21" xfId="44" applyFont="1" applyFill="1" applyBorder="1" applyAlignment="1" applyProtection="1">
      <alignment horizontal="left" vertical="center"/>
      <protection hidden="1"/>
    </xf>
    <xf numFmtId="2" fontId="6" fillId="0" borderId="22" xfId="0" applyNumberFormat="1" applyFont="1" applyFill="1" applyBorder="1" applyAlignment="1" applyProtection="1">
      <alignment horizontal="right" vertical="center"/>
      <protection hidden="1"/>
    </xf>
    <xf numFmtId="44" fontId="3" fillId="0" borderId="21" xfId="44" applyNumberFormat="1" applyFont="1" applyFill="1" applyBorder="1" applyAlignment="1" applyProtection="1">
      <alignment horizontal="right" vertical="center"/>
      <protection hidden="1"/>
    </xf>
    <xf numFmtId="0" fontId="6" fillId="0" borderId="23" xfId="0" applyFont="1" applyFill="1" applyBorder="1" applyAlignment="1" applyProtection="1">
      <alignment horizontal="left" vertical="center" indent="1"/>
      <protection hidden="1"/>
    </xf>
    <xf numFmtId="44" fontId="6" fillId="0" borderId="24" xfId="44" applyFont="1" applyFill="1" applyBorder="1" applyAlignment="1" applyProtection="1">
      <alignment horizontal="left" vertical="center"/>
      <protection hidden="1"/>
    </xf>
    <xf numFmtId="2" fontId="6" fillId="0" borderId="25" xfId="0" applyNumberFormat="1" applyFont="1" applyFill="1" applyBorder="1" applyAlignment="1" applyProtection="1">
      <alignment horizontal="right" vertical="center"/>
      <protection hidden="1"/>
    </xf>
    <xf numFmtId="44" fontId="3" fillId="0" borderId="24" xfId="44" applyNumberFormat="1" applyFont="1" applyFill="1" applyBorder="1" applyAlignment="1" applyProtection="1">
      <alignment horizontal="right" vertical="center"/>
      <protection hidden="1"/>
    </xf>
    <xf numFmtId="0" fontId="9" fillId="0" borderId="26" xfId="0" applyFont="1" applyFill="1" applyBorder="1" applyAlignment="1" applyProtection="1">
      <alignment horizontal="left" vertical="center" indent="1"/>
      <protection hidden="1"/>
    </xf>
    <xf numFmtId="44" fontId="9" fillId="0" borderId="27" xfId="44" applyFont="1" applyFill="1" applyBorder="1" applyAlignment="1" applyProtection="1">
      <alignment horizontal="left" vertical="center"/>
      <protection hidden="1"/>
    </xf>
    <xf numFmtId="2" fontId="9" fillId="0" borderId="28" xfId="0" applyNumberFormat="1" applyFont="1" applyFill="1" applyBorder="1" applyAlignment="1" applyProtection="1">
      <alignment horizontal="right" vertical="center"/>
      <protection hidden="1"/>
    </xf>
    <xf numFmtId="44" fontId="1" fillId="0" borderId="27" xfId="44" applyNumberFormat="1" applyFont="1" applyFill="1" applyBorder="1" applyAlignment="1" applyProtection="1">
      <alignment horizontal="right" vertical="center"/>
      <protection hidden="1"/>
    </xf>
    <xf numFmtId="43" fontId="1" fillId="0" borderId="16" xfId="44" applyNumberFormat="1" applyFont="1" applyFill="1" applyBorder="1" applyAlignment="1" applyProtection="1">
      <alignment horizontal="right"/>
      <protection hidden="1"/>
    </xf>
    <xf numFmtId="43" fontId="1" fillId="0" borderId="17" xfId="44" applyNumberFormat="1" applyFont="1" applyFill="1" applyBorder="1" applyAlignment="1" applyProtection="1">
      <alignment horizontal="right"/>
      <protection hidden="1"/>
    </xf>
    <xf numFmtId="44" fontId="3" fillId="0" borderId="22" xfId="0" applyNumberFormat="1" applyFont="1" applyFill="1" applyBorder="1" applyAlignment="1" applyProtection="1">
      <alignment/>
      <protection hidden="1"/>
    </xf>
    <xf numFmtId="44" fontId="3" fillId="0" borderId="21" xfId="0" applyNumberFormat="1" applyFont="1" applyFill="1" applyBorder="1" applyAlignment="1" applyProtection="1">
      <alignment vertical="center"/>
      <protection hidden="1"/>
    </xf>
    <xf numFmtId="44" fontId="3" fillId="0" borderId="22" xfId="0" applyNumberFormat="1" applyFont="1" applyFill="1" applyBorder="1" applyAlignment="1" applyProtection="1">
      <alignment vertical="center"/>
      <protection hidden="1"/>
    </xf>
    <xf numFmtId="44" fontId="3" fillId="0" borderId="25" xfId="0" applyNumberFormat="1" applyFont="1" applyFill="1" applyBorder="1" applyAlignment="1" applyProtection="1">
      <alignment vertical="center"/>
      <protection hidden="1"/>
    </xf>
    <xf numFmtId="44" fontId="3" fillId="0" borderId="24" xfId="0" applyNumberFormat="1" applyFont="1" applyFill="1" applyBorder="1" applyAlignment="1" applyProtection="1">
      <alignment horizontal="right" vertical="center"/>
      <protection hidden="1"/>
    </xf>
    <xf numFmtId="44" fontId="1" fillId="0" borderId="28" xfId="0" applyNumberFormat="1" applyFont="1" applyFill="1" applyBorder="1" applyAlignment="1" applyProtection="1">
      <alignment vertical="center"/>
      <protection hidden="1"/>
    </xf>
    <xf numFmtId="44" fontId="1" fillId="0" borderId="27" xfId="0" applyNumberFormat="1" applyFont="1" applyFill="1" applyBorder="1" applyAlignment="1" applyProtection="1">
      <alignment horizontal="right" vertical="center"/>
      <protection hidden="1"/>
    </xf>
    <xf numFmtId="0" fontId="3" fillId="35" borderId="29" xfId="0" applyFont="1" applyFill="1" applyBorder="1" applyAlignment="1" applyProtection="1">
      <alignment horizontal="center"/>
      <protection hidden="1"/>
    </xf>
    <xf numFmtId="168" fontId="2" fillId="0" borderId="11" xfId="44" applyNumberFormat="1" applyFont="1" applyFill="1" applyBorder="1" applyAlignment="1" applyProtection="1">
      <alignment/>
      <protection hidden="1"/>
    </xf>
    <xf numFmtId="44" fontId="2" fillId="0" borderId="30" xfId="44" applyNumberFormat="1" applyFont="1" applyFill="1" applyBorder="1" applyAlignment="1" applyProtection="1">
      <alignment/>
      <protection hidden="1"/>
    </xf>
    <xf numFmtId="168" fontId="2" fillId="0" borderId="15" xfId="44" applyNumberFormat="1" applyFont="1" applyFill="1" applyBorder="1" applyAlignment="1" applyProtection="1">
      <alignment/>
      <protection hidden="1"/>
    </xf>
    <xf numFmtId="44" fontId="2" fillId="0" borderId="31" xfId="44" applyNumberFormat="1" applyFont="1" applyFill="1" applyBorder="1" applyAlignment="1" applyProtection="1">
      <alignment/>
      <protection hidden="1"/>
    </xf>
    <xf numFmtId="44" fontId="1" fillId="0" borderId="32" xfId="44" applyNumberFormat="1" applyFont="1" applyFill="1" applyBorder="1" applyAlignment="1" applyProtection="1">
      <alignment/>
      <protection hidden="1"/>
    </xf>
    <xf numFmtId="44" fontId="1" fillId="0" borderId="33" xfId="44" applyNumberFormat="1" applyFont="1" applyFill="1" applyBorder="1" applyAlignment="1" applyProtection="1">
      <alignment/>
      <protection hidden="1"/>
    </xf>
    <xf numFmtId="44" fontId="3" fillId="0" borderId="0" xfId="0" applyNumberFormat="1" applyFont="1" applyFill="1" applyBorder="1" applyAlignment="1" applyProtection="1">
      <alignment/>
      <protection hidden="1"/>
    </xf>
    <xf numFmtId="44" fontId="3" fillId="0" borderId="34" xfId="0" applyNumberFormat="1" applyFont="1" applyFill="1" applyBorder="1" applyAlignment="1" applyProtection="1">
      <alignment vertical="center"/>
      <protection hidden="1"/>
    </xf>
    <xf numFmtId="44" fontId="3" fillId="0" borderId="34" xfId="0" applyNumberFormat="1" applyFont="1" applyFill="1" applyBorder="1" applyAlignment="1" applyProtection="1">
      <alignment horizontal="right" vertical="center"/>
      <protection hidden="1"/>
    </xf>
    <xf numFmtId="44" fontId="3" fillId="0" borderId="35" xfId="0" applyNumberFormat="1" applyFont="1" applyFill="1" applyBorder="1" applyAlignment="1" applyProtection="1">
      <alignment/>
      <protection hidden="1"/>
    </xf>
    <xf numFmtId="44" fontId="3" fillId="0" borderId="36" xfId="0" applyNumberFormat="1" applyFont="1" applyFill="1" applyBorder="1" applyAlignment="1" applyProtection="1">
      <alignment horizontal="right" vertical="center"/>
      <protection hidden="1"/>
    </xf>
    <xf numFmtId="44" fontId="1" fillId="0" borderId="16" xfId="0" applyNumberFormat="1" applyFont="1" applyFill="1" applyBorder="1" applyAlignment="1" applyProtection="1">
      <alignment/>
      <protection hidden="1"/>
    </xf>
    <xf numFmtId="44" fontId="1" fillId="0" borderId="32" xfId="0" applyNumberFormat="1" applyFont="1" applyFill="1" applyBorder="1" applyAlignment="1" applyProtection="1">
      <alignment horizontal="right" vertical="center"/>
      <protection hidden="1"/>
    </xf>
    <xf numFmtId="0" fontId="3" fillId="35" borderId="37" xfId="0" applyFont="1" applyFill="1" applyBorder="1" applyAlignment="1" applyProtection="1">
      <alignment horizontal="center"/>
      <protection hidden="1"/>
    </xf>
    <xf numFmtId="0" fontId="2" fillId="0" borderId="0" xfId="0" applyFont="1" applyAlignment="1" applyProtection="1">
      <alignment/>
      <protection hidden="1"/>
    </xf>
    <xf numFmtId="0" fontId="3" fillId="35" borderId="38" xfId="0" applyFont="1" applyFill="1" applyBorder="1" applyAlignment="1" applyProtection="1">
      <alignment horizontal="center"/>
      <protection hidden="1"/>
    </xf>
    <xf numFmtId="0" fontId="2" fillId="0" borderId="39" xfId="0" applyFont="1" applyFill="1" applyBorder="1" applyAlignment="1" applyProtection="1">
      <alignment horizontal="center"/>
      <protection hidden="1"/>
    </xf>
    <xf numFmtId="3" fontId="2" fillId="0" borderId="11" xfId="0" applyNumberFormat="1" applyFont="1" applyFill="1" applyBorder="1" applyAlignment="1" applyProtection="1">
      <alignment horizontal="center"/>
      <protection hidden="1"/>
    </xf>
    <xf numFmtId="0" fontId="2" fillId="0" borderId="40" xfId="0" applyFont="1" applyFill="1" applyBorder="1" applyAlignment="1" applyProtection="1">
      <alignment horizontal="center"/>
      <protection hidden="1"/>
    </xf>
    <xf numFmtId="3" fontId="2" fillId="0" borderId="15" xfId="0" applyNumberFormat="1"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0" fillId="0" borderId="16" xfId="0" applyFont="1" applyFill="1" applyBorder="1" applyAlignment="1" applyProtection="1">
      <alignment horizontal="right"/>
      <protection hidden="1"/>
    </xf>
    <xf numFmtId="0" fontId="0" fillId="0" borderId="41" xfId="0" applyFont="1" applyFill="1" applyBorder="1" applyAlignment="1" applyProtection="1">
      <alignment/>
      <protection hidden="1"/>
    </xf>
    <xf numFmtId="0" fontId="0" fillId="0" borderId="17" xfId="0" applyFont="1" applyFill="1" applyBorder="1" applyAlignment="1" applyProtection="1">
      <alignment horizontal="right"/>
      <protection hidden="1"/>
    </xf>
    <xf numFmtId="0" fontId="0" fillId="0" borderId="0" xfId="0" applyAlignment="1" applyProtection="1">
      <alignment/>
      <protection hidden="1"/>
    </xf>
    <xf numFmtId="3" fontId="2" fillId="36" borderId="11" xfId="0" applyNumberFormat="1"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0" fillId="37" borderId="0" xfId="0" applyFill="1" applyBorder="1" applyAlignment="1" applyProtection="1">
      <alignment/>
      <protection hidden="1"/>
    </xf>
    <xf numFmtId="0" fontId="1" fillId="37" borderId="0" xfId="0" applyFont="1" applyFill="1" applyBorder="1" applyAlignment="1" applyProtection="1">
      <alignment horizontal="center"/>
      <protection hidden="1"/>
    </xf>
    <xf numFmtId="0" fontId="3" fillId="37" borderId="0" xfId="0" applyFont="1" applyFill="1" applyBorder="1" applyAlignment="1" applyProtection="1">
      <alignment horizontal="right"/>
      <protection hidden="1"/>
    </xf>
    <xf numFmtId="0" fontId="10" fillId="37" borderId="0" xfId="0" applyFont="1" applyFill="1" applyBorder="1" applyAlignment="1" applyProtection="1">
      <alignment/>
      <protection hidden="1"/>
    </xf>
    <xf numFmtId="0" fontId="1" fillId="37" borderId="0" xfId="0" applyFont="1" applyFill="1" applyBorder="1" applyAlignment="1" applyProtection="1">
      <alignment/>
      <protection hidden="1"/>
    </xf>
    <xf numFmtId="0" fontId="0" fillId="37" borderId="0"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2" fontId="2" fillId="36" borderId="42" xfId="0" applyNumberFormat="1" applyFont="1" applyFill="1" applyBorder="1" applyAlignment="1" applyProtection="1">
      <alignment/>
      <protection hidden="1" locked="0"/>
    </xf>
    <xf numFmtId="1" fontId="2" fillId="36" borderId="42" xfId="0" applyNumberFormat="1" applyFont="1" applyFill="1" applyBorder="1" applyAlignment="1" applyProtection="1">
      <alignment/>
      <protection hidden="1" locked="0"/>
    </xf>
    <xf numFmtId="0" fontId="0" fillId="37" borderId="0" xfId="0" applyFont="1" applyFill="1" applyBorder="1" applyAlignment="1" applyProtection="1">
      <alignment/>
      <protection hidden="1"/>
    </xf>
    <xf numFmtId="168" fontId="1" fillId="37" borderId="0" xfId="0" applyNumberFormat="1" applyFont="1" applyFill="1" applyBorder="1" applyAlignment="1" applyProtection="1">
      <alignment horizontal="right"/>
      <protection hidden="1"/>
    </xf>
    <xf numFmtId="44" fontId="1" fillId="37" borderId="0" xfId="44" applyNumberFormat="1" applyFont="1" applyFill="1" applyBorder="1" applyAlignment="1" applyProtection="1">
      <alignment/>
      <protection hidden="1"/>
    </xf>
    <xf numFmtId="0" fontId="1" fillId="37" borderId="0" xfId="0" applyFont="1" applyFill="1" applyBorder="1" applyAlignment="1" applyProtection="1">
      <alignment/>
      <protection hidden="1"/>
    </xf>
    <xf numFmtId="43" fontId="1" fillId="37" borderId="0" xfId="0" applyNumberFormat="1" applyFont="1" applyFill="1" applyBorder="1" applyAlignment="1" applyProtection="1">
      <alignment horizontal="right"/>
      <protection hidden="1"/>
    </xf>
    <xf numFmtId="43" fontId="1" fillId="37" borderId="0" xfId="44" applyNumberFormat="1" applyFont="1" applyFill="1" applyBorder="1" applyAlignment="1" applyProtection="1">
      <alignment horizontal="right"/>
      <protection hidden="1"/>
    </xf>
    <xf numFmtId="0" fontId="1" fillId="37" borderId="0" xfId="0" applyFont="1" applyFill="1" applyAlignment="1" applyProtection="1">
      <alignment/>
      <protection hidden="1"/>
    </xf>
    <xf numFmtId="0" fontId="0" fillId="37" borderId="0" xfId="0" applyFont="1" applyFill="1" applyAlignment="1" applyProtection="1">
      <alignment horizontal="right"/>
      <protection hidden="1"/>
    </xf>
    <xf numFmtId="0" fontId="0" fillId="37" borderId="0" xfId="0" applyFont="1" applyFill="1" applyAlignment="1" applyProtection="1">
      <alignment/>
      <protection hidden="1"/>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3" fillId="37" borderId="0" xfId="0" applyFont="1" applyFill="1" applyAlignment="1" applyProtection="1">
      <alignment/>
      <protection hidden="1"/>
    </xf>
    <xf numFmtId="0" fontId="3" fillId="37" borderId="0" xfId="0" applyFont="1" applyFill="1" applyAlignment="1" applyProtection="1">
      <alignment horizontal="right"/>
      <protection hidden="1"/>
    </xf>
    <xf numFmtId="0" fontId="6" fillId="37" borderId="0" xfId="0" applyFont="1" applyFill="1" applyBorder="1" applyAlignment="1" applyProtection="1">
      <alignment horizontal="left" vertical="center" indent="1"/>
      <protection hidden="1"/>
    </xf>
    <xf numFmtId="44" fontId="6" fillId="37" borderId="0" xfId="44" applyFont="1" applyFill="1" applyBorder="1" applyAlignment="1" applyProtection="1">
      <alignment horizontal="left" vertical="center"/>
      <protection hidden="1"/>
    </xf>
    <xf numFmtId="0" fontId="6" fillId="37" borderId="0" xfId="0" applyFont="1" applyFill="1" applyBorder="1" applyAlignment="1" applyProtection="1">
      <alignment horizontal="right" vertical="center"/>
      <protection hidden="1"/>
    </xf>
    <xf numFmtId="3" fontId="3" fillId="37" borderId="0" xfId="0" applyNumberFormat="1" applyFont="1" applyFill="1" applyBorder="1" applyAlignment="1" applyProtection="1">
      <alignment horizontal="right" vertical="center"/>
      <protection hidden="1"/>
    </xf>
    <xf numFmtId="168" fontId="3" fillId="37" borderId="0" xfId="0" applyNumberFormat="1" applyFont="1" applyFill="1" applyBorder="1" applyAlignment="1" applyProtection="1">
      <alignment horizontal="right" vertical="center"/>
      <protection hidden="1"/>
    </xf>
    <xf numFmtId="1" fontId="3" fillId="37" borderId="0" xfId="0" applyNumberFormat="1" applyFont="1" applyFill="1" applyBorder="1" applyAlignment="1" applyProtection="1">
      <alignment horizontal="right" vertical="center"/>
      <protection hidden="1"/>
    </xf>
    <xf numFmtId="0" fontId="3" fillId="37" borderId="43" xfId="0" applyFont="1" applyFill="1" applyBorder="1" applyAlignment="1" applyProtection="1">
      <alignment/>
      <protection hidden="1" locked="0"/>
    </xf>
    <xf numFmtId="0" fontId="0" fillId="37" borderId="44" xfId="0" applyFill="1" applyBorder="1" applyAlignment="1" applyProtection="1">
      <alignment/>
      <protection hidden="1" locked="0"/>
    </xf>
    <xf numFmtId="0" fontId="0" fillId="37" borderId="0" xfId="0" applyFill="1" applyBorder="1" applyAlignment="1" applyProtection="1">
      <alignment/>
      <protection hidden="1" locked="0"/>
    </xf>
    <xf numFmtId="0" fontId="0" fillId="37" borderId="34" xfId="0" applyFill="1" applyBorder="1" applyAlignment="1" applyProtection="1">
      <alignment/>
      <protection hidden="1" locked="0"/>
    </xf>
    <xf numFmtId="0" fontId="10" fillId="37" borderId="16" xfId="0" applyFont="1" applyFill="1" applyBorder="1" applyAlignment="1" applyProtection="1">
      <alignment/>
      <protection hidden="1" locked="0"/>
    </xf>
    <xf numFmtId="0" fontId="10" fillId="37" borderId="32" xfId="0" applyFont="1" applyFill="1" applyBorder="1" applyAlignment="1" applyProtection="1">
      <alignment/>
      <protection hidden="1" locked="0"/>
    </xf>
    <xf numFmtId="0" fontId="3" fillId="37" borderId="13" xfId="0" applyFont="1" applyFill="1" applyBorder="1" applyAlignment="1" applyProtection="1">
      <alignment/>
      <protection hidden="1" locked="0"/>
    </xf>
    <xf numFmtId="0" fontId="3" fillId="37" borderId="45" xfId="0" applyFont="1" applyFill="1" applyBorder="1" applyAlignment="1" applyProtection="1">
      <alignment/>
      <protection hidden="1" locked="0"/>
    </xf>
    <xf numFmtId="2" fontId="2" fillId="36" borderId="26" xfId="0" applyNumberFormat="1" applyFont="1" applyFill="1" applyBorder="1" applyAlignment="1" applyProtection="1">
      <alignment/>
      <protection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1" fillId="37" borderId="46" xfId="0" applyFont="1" applyFill="1" applyBorder="1" applyAlignment="1" applyProtection="1">
      <alignment horizontal="center"/>
      <protection hidden="1" locked="0"/>
    </xf>
    <xf numFmtId="0" fontId="1" fillId="37" borderId="47" xfId="0" applyFont="1" applyFill="1" applyBorder="1" applyAlignment="1" applyProtection="1">
      <alignment horizontal="center"/>
      <protection hidden="1" locked="0"/>
    </xf>
    <xf numFmtId="0" fontId="1" fillId="37" borderId="48" xfId="0" applyFont="1" applyFill="1" applyBorder="1" applyAlignment="1" applyProtection="1">
      <alignment horizontal="center"/>
      <protection hidden="1" locked="0"/>
    </xf>
    <xf numFmtId="0" fontId="0" fillId="37" borderId="49" xfId="0" applyFill="1" applyBorder="1" applyAlignment="1" applyProtection="1">
      <alignment horizontal="center"/>
      <protection hidden="1" locked="0"/>
    </xf>
    <xf numFmtId="0" fontId="0" fillId="0" borderId="50" xfId="0" applyBorder="1" applyAlignment="1" applyProtection="1">
      <alignment/>
      <protection hidden="1" locked="0"/>
    </xf>
    <xf numFmtId="0" fontId="3" fillId="35" borderId="51" xfId="0" applyFont="1" applyFill="1" applyBorder="1" applyAlignment="1" applyProtection="1">
      <alignment horizontal="center"/>
      <protection hidden="1"/>
    </xf>
    <xf numFmtId="0" fontId="2" fillId="0" borderId="52" xfId="0" applyFont="1" applyBorder="1" applyAlignment="1" applyProtection="1">
      <alignment horizontal="center"/>
      <protection hidden="1"/>
    </xf>
    <xf numFmtId="0" fontId="3" fillId="35" borderId="14" xfId="0" applyFont="1" applyFill="1" applyBorder="1" applyAlignment="1" applyProtection="1">
      <alignment horizontal="center"/>
      <protection hidden="1"/>
    </xf>
    <xf numFmtId="0" fontId="3" fillId="35" borderId="53" xfId="0" applyFont="1" applyFill="1" applyBorder="1" applyAlignment="1" applyProtection="1">
      <alignment horizontal="center"/>
      <protection hidden="1"/>
    </xf>
    <xf numFmtId="0" fontId="2" fillId="0" borderId="54" xfId="0" applyNumberFormat="1" applyFont="1" applyBorder="1" applyAlignment="1" applyProtection="1">
      <alignment horizontal="left" wrapText="1"/>
      <protection hidden="1"/>
    </xf>
    <xf numFmtId="0" fontId="2" fillId="0" borderId="55" xfId="0" applyFont="1" applyBorder="1" applyAlignment="1" applyProtection="1">
      <alignment horizontal="left" wrapText="1"/>
      <protection hidden="1"/>
    </xf>
    <xf numFmtId="0" fontId="2" fillId="0" borderId="56" xfId="0" applyFont="1" applyBorder="1" applyAlignment="1" applyProtection="1">
      <alignment horizontal="left" wrapText="1"/>
      <protection hidden="1"/>
    </xf>
    <xf numFmtId="0" fontId="2" fillId="0" borderId="2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57" xfId="0" applyFont="1" applyBorder="1" applyAlignment="1" applyProtection="1">
      <alignment horizontal="left" wrapText="1"/>
      <protection hidden="1"/>
    </xf>
    <xf numFmtId="0" fontId="2" fillId="0" borderId="58"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3" fillId="4" borderId="60"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61" xfId="0" applyFill="1" applyBorder="1" applyAlignment="1" applyProtection="1">
      <alignment horizontal="center" vertical="center"/>
      <protection hidden="1"/>
    </xf>
    <xf numFmtId="0" fontId="2" fillId="0" borderId="13" xfId="0" applyFont="1" applyBorder="1" applyAlignment="1">
      <alignment/>
    </xf>
    <xf numFmtId="0" fontId="0" fillId="0" borderId="13" xfId="0" applyBorder="1" applyAlignment="1">
      <alignment/>
    </xf>
    <xf numFmtId="0" fontId="3" fillId="32" borderId="54" xfId="0" applyFont="1" applyFill="1" applyBorder="1" applyAlignment="1">
      <alignment horizontal="center" vertical="top"/>
    </xf>
    <xf numFmtId="0" fontId="3" fillId="32" borderId="56" xfId="0" applyFont="1" applyFill="1" applyBorder="1" applyAlignment="1">
      <alignment horizontal="center" vertical="top"/>
    </xf>
    <xf numFmtId="0" fontId="2"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C900/C905 vs Ductile Iron Installed Cost Comparison</a:t>
            </a:r>
          </a:p>
        </c:rich>
      </c:tx>
      <c:layout>
        <c:manualLayout>
          <c:xMode val="factor"/>
          <c:yMode val="factor"/>
          <c:x val="0.0045"/>
          <c:y val="0.02625"/>
        </c:manualLayout>
      </c:layout>
      <c:spPr>
        <a:noFill/>
        <a:ln>
          <a:noFill/>
        </a:ln>
      </c:spPr>
    </c:title>
    <c:plotArea>
      <c:layout>
        <c:manualLayout>
          <c:xMode val="edge"/>
          <c:yMode val="edge"/>
          <c:x val="0.03775"/>
          <c:y val="0.103"/>
          <c:w val="0.838"/>
          <c:h val="0.84125"/>
        </c:manualLayout>
      </c:layout>
      <c:barChart>
        <c:barDir val="col"/>
        <c:grouping val="stacked"/>
        <c:varyColors val="0"/>
        <c:ser>
          <c:idx val="0"/>
          <c:order val="0"/>
          <c:tx>
            <c:v>Material Cost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DI'!$C$11:$C$20,'PVC vs DI'!$C$30:$C$39)</c:f>
              <c:numCache>
                <c:ptCount val="20"/>
                <c:pt idx="0">
                  <c:v>1.884</c:v>
                </c:pt>
                <c:pt idx="1">
                  <c:v>3</c:v>
                </c:pt>
                <c:pt idx="2">
                  <c:v>6.3</c:v>
                </c:pt>
                <c:pt idx="3">
                  <c:v>9.588</c:v>
                </c:pt>
                <c:pt idx="4">
                  <c:v>13.511999999999999</c:v>
                </c:pt>
                <c:pt idx="5">
                  <c:v>17.508</c:v>
                </c:pt>
                <c:pt idx="6">
                  <c:v>24.06</c:v>
                </c:pt>
                <c:pt idx="7">
                  <c:v>30.323999999999998</c:v>
                </c:pt>
                <c:pt idx="8">
                  <c:v>27.23</c:v>
                </c:pt>
                <c:pt idx="9">
                  <c:v>39.32</c:v>
                </c:pt>
                <c:pt idx="10">
                  <c:v>9</c:v>
                </c:pt>
                <c:pt idx="11">
                  <c:v>14.735999999999999</c:v>
                </c:pt>
                <c:pt idx="12">
                  <c:v>18.384</c:v>
                </c:pt>
                <c:pt idx="13">
                  <c:v>23.747999999999998</c:v>
                </c:pt>
                <c:pt idx="14">
                  <c:v>30.432</c:v>
                </c:pt>
                <c:pt idx="15">
                  <c:v>40.3</c:v>
                </c:pt>
                <c:pt idx="16">
                  <c:v>50.172000000000004</c:v>
                </c:pt>
                <c:pt idx="17">
                  <c:v>62.37599999999999</c:v>
                </c:pt>
                <c:pt idx="18">
                  <c:v>58.3</c:v>
                </c:pt>
                <c:pt idx="19">
                  <c:v>65.928</c:v>
                </c:pt>
              </c:numCache>
            </c:numRef>
          </c:val>
        </c:ser>
        <c:ser>
          <c:idx val="1"/>
          <c:order val="1"/>
          <c:tx>
            <c:v>Labor Cost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DI'!$F$11:$F$20,'PVC vs DI'!$F$30:$F$39)</c:f>
              <c:numCache>
                <c:ptCount val="20"/>
                <c:pt idx="0">
                  <c:v>4.391466666666667</c:v>
                </c:pt>
                <c:pt idx="1">
                  <c:v>5.26976</c:v>
                </c:pt>
                <c:pt idx="2">
                  <c:v>5.728000000000001</c:v>
                </c:pt>
                <c:pt idx="3">
                  <c:v>6.5872</c:v>
                </c:pt>
                <c:pt idx="4">
                  <c:v>6.5872</c:v>
                </c:pt>
                <c:pt idx="5">
                  <c:v>8.234</c:v>
                </c:pt>
                <c:pt idx="6">
                  <c:v>10.2925</c:v>
                </c:pt>
                <c:pt idx="7">
                  <c:v>11.762857142857143</c:v>
                </c:pt>
                <c:pt idx="8">
                  <c:v>13.1744</c:v>
                </c:pt>
                <c:pt idx="9">
                  <c:v>16.468</c:v>
                </c:pt>
                <c:pt idx="10">
                  <c:v>6.5872</c:v>
                </c:pt>
                <c:pt idx="11">
                  <c:v>6.5872</c:v>
                </c:pt>
                <c:pt idx="12">
                  <c:v>6.5872</c:v>
                </c:pt>
                <c:pt idx="13">
                  <c:v>7.319111111111112</c:v>
                </c:pt>
                <c:pt idx="14">
                  <c:v>7.7496470588235296</c:v>
                </c:pt>
                <c:pt idx="15">
                  <c:v>9.410285714285715</c:v>
                </c:pt>
                <c:pt idx="16">
                  <c:v>11.357241379310345</c:v>
                </c:pt>
                <c:pt idx="17">
                  <c:v>13.1744</c:v>
                </c:pt>
                <c:pt idx="18">
                  <c:v>14.638222222222224</c:v>
                </c:pt>
                <c:pt idx="19">
                  <c:v>18.82057142857143</c:v>
                </c:pt>
              </c:numCache>
            </c:numRef>
          </c:val>
        </c:ser>
        <c:ser>
          <c:idx val="2"/>
          <c:order val="2"/>
          <c:tx>
            <c:v>Backfill Cost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DI'!$H$11:$H$20,'PVC vs DI'!$H$30:$H$39)</c:f>
              <c:numCache>
                <c:ptCount val="20"/>
                <c:pt idx="0">
                  <c:v>4.489769249999999</c:v>
                </c:pt>
                <c:pt idx="1">
                  <c:v>5.147003645507811</c:v>
                </c:pt>
                <c:pt idx="2">
                  <c:v>5.833675716064452</c:v>
                </c:pt>
                <c:pt idx="3">
                  <c:v>6.501402747070312</c:v>
                </c:pt>
                <c:pt idx="4">
                  <c:v>7.198567453125</c:v>
                </c:pt>
                <c:pt idx="5">
                  <c:v>7.909042262695309</c:v>
                </c:pt>
                <c:pt idx="6">
                  <c:v>8.63282717578125</c:v>
                </c:pt>
                <c:pt idx="7">
                  <c:v>9.36992219238281</c:v>
                </c:pt>
                <c:pt idx="8">
                  <c:v>10.120327312500002</c:v>
                </c:pt>
                <c:pt idx="9">
                  <c:v>11.661067863281247</c:v>
                </c:pt>
                <c:pt idx="10">
                  <c:v>4.489769249999999</c:v>
                </c:pt>
                <c:pt idx="11">
                  <c:v>5.147003645507811</c:v>
                </c:pt>
                <c:pt idx="12">
                  <c:v>5.833675716064452</c:v>
                </c:pt>
                <c:pt idx="13">
                  <c:v>6.501402747070312</c:v>
                </c:pt>
                <c:pt idx="14">
                  <c:v>7.198567453125</c:v>
                </c:pt>
                <c:pt idx="15">
                  <c:v>7.909042262695309</c:v>
                </c:pt>
                <c:pt idx="16">
                  <c:v>8.63282717578125</c:v>
                </c:pt>
                <c:pt idx="17">
                  <c:v>9.36992219238281</c:v>
                </c:pt>
                <c:pt idx="18">
                  <c:v>10.120327312500002</c:v>
                </c:pt>
                <c:pt idx="19">
                  <c:v>11.661067863281247</c:v>
                </c:pt>
              </c:numCache>
            </c:numRef>
          </c:val>
        </c:ser>
        <c:overlap val="100"/>
        <c:axId val="66396972"/>
        <c:axId val="60701837"/>
      </c:barChart>
      <c:catAx>
        <c:axId val="663969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Pipe Size</a:t>
                </a:r>
              </a:p>
            </c:rich>
          </c:tx>
          <c:layout>
            <c:manualLayout>
              <c:xMode val="factor"/>
              <c:yMode val="factor"/>
              <c:x val="-0.004"/>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01837"/>
        <c:crosses val="autoZero"/>
        <c:auto val="1"/>
        <c:lblOffset val="100"/>
        <c:tickLblSkip val="1"/>
        <c:noMultiLvlLbl val="0"/>
      </c:catAx>
      <c:valAx>
        <c:axId val="607018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$/LF</a:t>
                </a:r>
              </a:p>
            </c:rich>
          </c:tx>
          <c:layout>
            <c:manualLayout>
              <c:xMode val="factor"/>
              <c:yMode val="factor"/>
              <c:x val="-0.01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96972"/>
        <c:crossesAt val="1"/>
        <c:crossBetween val="between"/>
        <c:dispUnits/>
      </c:valAx>
      <c:spPr>
        <a:solidFill>
          <a:srgbClr val="C0C0C0"/>
        </a:solidFill>
        <a:ln w="12700">
          <a:solidFill>
            <a:srgbClr val="808080"/>
          </a:solidFill>
        </a:ln>
      </c:spPr>
    </c:plotArea>
    <c:legend>
      <c:legendPos val="r"/>
      <c:layout>
        <c:manualLayout>
          <c:xMode val="edge"/>
          <c:yMode val="edge"/>
          <c:x val="0.888"/>
          <c:y val="0.45825"/>
          <c:w val="0.10775"/>
          <c:h val="0.10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6</xdr:row>
      <xdr:rowOff>9525</xdr:rowOff>
    </xdr:to>
    <xdr:pic>
      <xdr:nvPicPr>
        <xdr:cNvPr id="1" name="Picture 3" descr="JMM_logo"/>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9</xdr:col>
      <xdr:colOff>0</xdr:colOff>
      <xdr:row>4</xdr:row>
      <xdr:rowOff>0</xdr:rowOff>
    </xdr:from>
    <xdr:to>
      <xdr:col>11</xdr:col>
      <xdr:colOff>28575</xdr:colOff>
      <xdr:row>5</xdr:row>
      <xdr:rowOff>38100</xdr:rowOff>
    </xdr:to>
    <xdr:pic>
      <xdr:nvPicPr>
        <xdr:cNvPr id="2" name="ComboBox1"/>
        <xdr:cNvPicPr preferRelativeResize="1">
          <a:picLocks noChangeAspect="1"/>
        </xdr:cNvPicPr>
      </xdr:nvPicPr>
      <xdr:blipFill>
        <a:blip r:embed="rId2"/>
        <a:stretch>
          <a:fillRect/>
        </a:stretch>
      </xdr:blipFill>
      <xdr:spPr>
        <a:xfrm>
          <a:off x="7429500" y="742950"/>
          <a:ext cx="1790700" cy="228600"/>
        </a:xfrm>
        <a:prstGeom prst="rect">
          <a:avLst/>
        </a:prstGeom>
        <a:noFill/>
        <a:ln w="9525" cmpd="sng">
          <a:noFill/>
        </a:ln>
      </xdr:spPr>
    </xdr:pic>
    <xdr:clientData/>
  </xdr:twoCellAnchor>
  <xdr:twoCellAnchor editAs="oneCell">
    <xdr:from>
      <xdr:col>9</xdr:col>
      <xdr:colOff>0</xdr:colOff>
      <xdr:row>6</xdr:row>
      <xdr:rowOff>0</xdr:rowOff>
    </xdr:from>
    <xdr:to>
      <xdr:col>11</xdr:col>
      <xdr:colOff>28575</xdr:colOff>
      <xdr:row>7</xdr:row>
      <xdr:rowOff>19050</xdr:rowOff>
    </xdr:to>
    <xdr:pic>
      <xdr:nvPicPr>
        <xdr:cNvPr id="3" name="ComboBox2"/>
        <xdr:cNvPicPr preferRelativeResize="1">
          <a:picLocks noChangeAspect="1"/>
        </xdr:cNvPicPr>
      </xdr:nvPicPr>
      <xdr:blipFill>
        <a:blip r:embed="rId3"/>
        <a:stretch>
          <a:fillRect/>
        </a:stretch>
      </xdr:blipFill>
      <xdr:spPr>
        <a:xfrm>
          <a:off x="7429500" y="1095375"/>
          <a:ext cx="17907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5"/>
  <sheetViews>
    <sheetView tabSelected="1" zoomScaleSheetLayoutView="100" zoomScalePageLayoutView="0" workbookViewId="0" topLeftCell="A1">
      <selection activeCell="M12" sqref="M12"/>
    </sheetView>
  </sheetViews>
  <sheetFormatPr defaultColWidth="9.140625" defaultRowHeight="12.75" zeroHeight="1"/>
  <cols>
    <col min="1" max="1" width="10.7109375" style="45" customWidth="1"/>
    <col min="2" max="2" width="12.7109375" style="45" customWidth="1"/>
    <col min="3" max="3" width="10.7109375" style="45" customWidth="1"/>
    <col min="4" max="4" width="15.7109375" style="45" customWidth="1"/>
    <col min="5" max="6" width="10.7109375" style="45" customWidth="1"/>
    <col min="7" max="7" width="14.7109375" style="45" customWidth="1"/>
    <col min="8" max="8" width="10.7109375" style="45" customWidth="1"/>
    <col min="9" max="9" width="14.7109375" style="45" customWidth="1"/>
    <col min="10" max="10" width="10.7109375" style="45" customWidth="1"/>
    <col min="11" max="11" width="15.7109375" style="45" customWidth="1"/>
    <col min="12" max="16384" width="9.140625" style="45" customWidth="1"/>
  </cols>
  <sheetData>
    <row r="1" spans="1:11" ht="20.25">
      <c r="A1" s="160" t="s">
        <v>23</v>
      </c>
      <c r="B1" s="161"/>
      <c r="C1" s="161"/>
      <c r="D1" s="161"/>
      <c r="E1" s="161"/>
      <c r="F1" s="161"/>
      <c r="G1" s="161"/>
      <c r="H1" s="161"/>
      <c r="I1" s="161"/>
      <c r="J1" s="161"/>
      <c r="K1" s="161"/>
    </row>
    <row r="2" spans="1:11" ht="12.75" customHeight="1" thickBot="1">
      <c r="A2" s="121"/>
      <c r="B2" s="122"/>
      <c r="C2" s="122"/>
      <c r="D2" s="122"/>
      <c r="E2" s="122"/>
      <c r="F2" s="122"/>
      <c r="G2" s="122"/>
      <c r="H2" s="122"/>
      <c r="I2" s="122"/>
      <c r="J2" s="122"/>
      <c r="K2" s="122"/>
    </row>
    <row r="3" spans="1:11" ht="12.75">
      <c r="A3" s="123"/>
      <c r="B3" s="123"/>
      <c r="C3" s="123"/>
      <c r="D3" s="123"/>
      <c r="E3" s="123"/>
      <c r="F3" s="123"/>
      <c r="G3" s="124"/>
      <c r="H3" s="162" t="s">
        <v>44</v>
      </c>
      <c r="I3" s="163"/>
      <c r="J3" s="163"/>
      <c r="K3" s="164"/>
    </row>
    <row r="4" spans="1:11" ht="12.75">
      <c r="A4" s="123"/>
      <c r="B4" s="123"/>
      <c r="C4" s="123"/>
      <c r="D4" s="123"/>
      <c r="E4" s="123"/>
      <c r="F4" s="123"/>
      <c r="G4" s="125"/>
      <c r="H4" s="130">
        <v>15</v>
      </c>
      <c r="I4" s="157" t="s">
        <v>42</v>
      </c>
      <c r="J4" s="151" t="s">
        <v>27</v>
      </c>
      <c r="K4" s="152"/>
    </row>
    <row r="5" spans="1:11" ht="15" customHeight="1">
      <c r="A5" s="123"/>
      <c r="B5" s="123"/>
      <c r="C5" s="123"/>
      <c r="D5" s="123"/>
      <c r="E5" s="123"/>
      <c r="F5" s="123"/>
      <c r="G5" s="123"/>
      <c r="H5" s="131">
        <v>135</v>
      </c>
      <c r="I5" s="157" t="s">
        <v>41</v>
      </c>
      <c r="J5" s="153" t="s">
        <v>48</v>
      </c>
      <c r="K5" s="154"/>
    </row>
    <row r="6" spans="1:11" ht="12.75">
      <c r="A6" s="123"/>
      <c r="B6" s="123"/>
      <c r="C6" s="123"/>
      <c r="D6" s="123"/>
      <c r="E6" s="123"/>
      <c r="F6" s="123"/>
      <c r="G6" s="123"/>
      <c r="H6" s="165" t="s">
        <v>40</v>
      </c>
      <c r="I6" s="166"/>
      <c r="J6" s="151" t="s">
        <v>39</v>
      </c>
      <c r="K6" s="152"/>
    </row>
    <row r="7" spans="1:11" s="46" customFormat="1" ht="15.75" thickBot="1">
      <c r="A7" s="126"/>
      <c r="B7" s="126"/>
      <c r="C7" s="126"/>
      <c r="D7" s="126"/>
      <c r="E7" s="126"/>
      <c r="F7" s="126"/>
      <c r="G7" s="126"/>
      <c r="H7" s="159"/>
      <c r="I7" s="158" t="s">
        <v>43</v>
      </c>
      <c r="J7" s="155" t="s">
        <v>48</v>
      </c>
      <c r="K7" s="156"/>
    </row>
    <row r="8" spans="1:11" s="47" customFormat="1" ht="13.5" thickBot="1">
      <c r="A8" s="127" t="s">
        <v>25</v>
      </c>
      <c r="B8" s="128"/>
      <c r="C8" s="129"/>
      <c r="D8" s="129"/>
      <c r="E8" s="129"/>
      <c r="F8" s="129"/>
      <c r="G8" s="129"/>
      <c r="H8" s="129"/>
      <c r="I8" s="129"/>
      <c r="J8" s="129"/>
      <c r="K8" s="129"/>
    </row>
    <row r="9" spans="1:11" s="109" customFormat="1" ht="11.25">
      <c r="A9" s="108" t="s">
        <v>11</v>
      </c>
      <c r="B9" s="48" t="s">
        <v>12</v>
      </c>
      <c r="C9" s="169" t="s">
        <v>19</v>
      </c>
      <c r="D9" s="169"/>
      <c r="E9" s="48" t="s">
        <v>13</v>
      </c>
      <c r="F9" s="167" t="s">
        <v>20</v>
      </c>
      <c r="G9" s="168"/>
      <c r="H9" s="169" t="s">
        <v>14</v>
      </c>
      <c r="I9" s="169"/>
      <c r="J9" s="169" t="s">
        <v>15</v>
      </c>
      <c r="K9" s="170"/>
    </row>
    <row r="10" spans="1:11" s="109" customFormat="1" ht="11.25">
      <c r="A10" s="110" t="s">
        <v>2</v>
      </c>
      <c r="B10" s="50" t="s">
        <v>16</v>
      </c>
      <c r="C10" s="49" t="s">
        <v>1</v>
      </c>
      <c r="D10" s="49" t="s">
        <v>17</v>
      </c>
      <c r="E10" s="50" t="s">
        <v>21</v>
      </c>
      <c r="F10" s="49" t="s">
        <v>1</v>
      </c>
      <c r="G10" s="49" t="s">
        <v>17</v>
      </c>
      <c r="H10" s="49" t="s">
        <v>1</v>
      </c>
      <c r="I10" s="49" t="s">
        <v>17</v>
      </c>
      <c r="J10" s="49" t="s">
        <v>1</v>
      </c>
      <c r="K10" s="94" t="s">
        <v>17</v>
      </c>
    </row>
    <row r="11" spans="1:11" s="109" customFormat="1" ht="11.25">
      <c r="A11" s="111">
        <v>4</v>
      </c>
      <c r="B11" s="120">
        <v>100</v>
      </c>
      <c r="C11" s="53">
        <f>'Cost Tables'!B5</f>
        <v>1.884</v>
      </c>
      <c r="D11" s="51">
        <f>C11*B11</f>
        <v>188.39999999999998</v>
      </c>
      <c r="E11" s="52">
        <f>'Cost Tables'!I5</f>
        <v>150</v>
      </c>
      <c r="F11" s="53">
        <f>'Cost Tables'!$E$37/'PVC vs DI'!E11</f>
        <v>4.391466666666667</v>
      </c>
      <c r="G11" s="51">
        <f aca="true" t="shared" si="0" ref="G11:G16">B11*F11</f>
        <v>439.1466666666667</v>
      </c>
      <c r="H11" s="51">
        <f>HLOOKUP($J$5,'Cost Tables'!$H$31:$N$45,2,FALSE)*'Cost Tables'!$K$29</f>
        <v>4.489769249999999</v>
      </c>
      <c r="I11" s="51">
        <f aca="true" t="shared" si="1" ref="I11:I16">B11*H11</f>
        <v>448.97692499999994</v>
      </c>
      <c r="J11" s="95">
        <f aca="true" t="shared" si="2" ref="J11:J20">C11+F11+H11</f>
        <v>10.765235916666665</v>
      </c>
      <c r="K11" s="96">
        <f aca="true" t="shared" si="3" ref="K11:K16">B11*J11</f>
        <v>1076.5235916666666</v>
      </c>
    </row>
    <row r="12" spans="1:11" s="109" customFormat="1" ht="11.25">
      <c r="A12" s="111">
        <v>6</v>
      </c>
      <c r="B12" s="120">
        <v>100</v>
      </c>
      <c r="C12" s="53">
        <v>3</v>
      </c>
      <c r="D12" s="51">
        <f>C12*B12</f>
        <v>300</v>
      </c>
      <c r="E12" s="52">
        <f>'Cost Tables'!I6</f>
        <v>125</v>
      </c>
      <c r="F12" s="53">
        <f>'Cost Tables'!$E$37/'PVC vs DI'!E12</f>
        <v>5.26976</v>
      </c>
      <c r="G12" s="51">
        <f t="shared" si="0"/>
        <v>526.976</v>
      </c>
      <c r="H12" s="51">
        <f>HLOOKUP($J$5,'Cost Tables'!$H$31:$N$45,3,FALSE)*'Cost Tables'!$K$29</f>
        <v>5.147003645507811</v>
      </c>
      <c r="I12" s="51">
        <f t="shared" si="1"/>
        <v>514.7003645507812</v>
      </c>
      <c r="J12" s="95">
        <f t="shared" si="2"/>
        <v>13.41676364550781</v>
      </c>
      <c r="K12" s="96">
        <f t="shared" si="3"/>
        <v>1341.676364550781</v>
      </c>
    </row>
    <row r="13" spans="1:11" s="109" customFormat="1" ht="11.25">
      <c r="A13" s="111">
        <v>8</v>
      </c>
      <c r="B13" s="120">
        <v>100</v>
      </c>
      <c r="C13" s="53">
        <f>'Cost Tables'!B7</f>
        <v>6.3</v>
      </c>
      <c r="D13" s="51">
        <f aca="true" t="shared" si="4" ref="D13:D20">C13*B13</f>
        <v>630</v>
      </c>
      <c r="E13" s="52">
        <f>'Cost Tables'!I7</f>
        <v>115</v>
      </c>
      <c r="F13" s="53">
        <f>'Cost Tables'!$E$37/'PVC vs DI'!E13</f>
        <v>5.728000000000001</v>
      </c>
      <c r="G13" s="51">
        <f t="shared" si="0"/>
        <v>572.8000000000001</v>
      </c>
      <c r="H13" s="51">
        <f>HLOOKUP($J$5,'Cost Tables'!$H$31:$N$45,4,FALSE)*'Cost Tables'!$K$29</f>
        <v>5.833675716064452</v>
      </c>
      <c r="I13" s="51">
        <f t="shared" si="1"/>
        <v>583.3675716064452</v>
      </c>
      <c r="J13" s="95">
        <f t="shared" si="2"/>
        <v>17.861675716064454</v>
      </c>
      <c r="K13" s="96">
        <f t="shared" si="3"/>
        <v>1786.1675716064453</v>
      </c>
    </row>
    <row r="14" spans="1:11" s="109" customFormat="1" ht="11.25">
      <c r="A14" s="111">
        <v>10</v>
      </c>
      <c r="B14" s="120">
        <v>100</v>
      </c>
      <c r="C14" s="53">
        <f>'Cost Tables'!B8</f>
        <v>9.588</v>
      </c>
      <c r="D14" s="51">
        <f t="shared" si="4"/>
        <v>958.8</v>
      </c>
      <c r="E14" s="52">
        <f>'Cost Tables'!I8</f>
        <v>100</v>
      </c>
      <c r="F14" s="53">
        <f>'Cost Tables'!$E$37/'PVC vs DI'!E14</f>
        <v>6.5872</v>
      </c>
      <c r="G14" s="51">
        <f t="shared" si="0"/>
        <v>658.72</v>
      </c>
      <c r="H14" s="51">
        <f>HLOOKUP($J$5,'Cost Tables'!$H$31:$N$45,5,FALSE)*'Cost Tables'!$K$29</f>
        <v>6.501402747070312</v>
      </c>
      <c r="I14" s="51">
        <f t="shared" si="1"/>
        <v>650.1402747070312</v>
      </c>
      <c r="J14" s="95">
        <f t="shared" si="2"/>
        <v>22.676602747070312</v>
      </c>
      <c r="K14" s="96">
        <f t="shared" si="3"/>
        <v>2267.660274707031</v>
      </c>
    </row>
    <row r="15" spans="1:11" s="109" customFormat="1" ht="11.25">
      <c r="A15" s="111">
        <v>12</v>
      </c>
      <c r="B15" s="120">
        <v>100</v>
      </c>
      <c r="C15" s="53">
        <f>'Cost Tables'!B9</f>
        <v>13.511999999999999</v>
      </c>
      <c r="D15" s="51">
        <f t="shared" si="4"/>
        <v>1351.1999999999998</v>
      </c>
      <c r="E15" s="52">
        <f>'Cost Tables'!I9</f>
        <v>100</v>
      </c>
      <c r="F15" s="53">
        <f>'Cost Tables'!$E$37/'PVC vs DI'!E15</f>
        <v>6.5872</v>
      </c>
      <c r="G15" s="51">
        <f t="shared" si="0"/>
        <v>658.72</v>
      </c>
      <c r="H15" s="51">
        <f>HLOOKUP($J$5,'Cost Tables'!$H$31:$N$45,6,FALSE)*'Cost Tables'!$K$29</f>
        <v>7.198567453125</v>
      </c>
      <c r="I15" s="51">
        <f t="shared" si="1"/>
        <v>719.8567453125</v>
      </c>
      <c r="J15" s="95">
        <f t="shared" si="2"/>
        <v>27.297767453125</v>
      </c>
      <c r="K15" s="96">
        <f t="shared" si="3"/>
        <v>2729.7767453125</v>
      </c>
    </row>
    <row r="16" spans="1:11" s="109" customFormat="1" ht="11.25">
      <c r="A16" s="111">
        <v>14</v>
      </c>
      <c r="B16" s="120">
        <v>100</v>
      </c>
      <c r="C16" s="53">
        <f>'Cost Tables'!B10</f>
        <v>17.508</v>
      </c>
      <c r="D16" s="51">
        <f t="shared" si="4"/>
        <v>1750.8</v>
      </c>
      <c r="E16" s="52">
        <f>'Cost Tables'!I10</f>
        <v>80</v>
      </c>
      <c r="F16" s="53">
        <f>'Cost Tables'!$E$37/'PVC vs DI'!E16</f>
        <v>8.234</v>
      </c>
      <c r="G16" s="51">
        <f t="shared" si="0"/>
        <v>823.4</v>
      </c>
      <c r="H16" s="51">
        <f>HLOOKUP($J$5,'Cost Tables'!$H$31:$N$45,7,FALSE)*'Cost Tables'!$K$29</f>
        <v>7.909042262695309</v>
      </c>
      <c r="I16" s="51">
        <f t="shared" si="1"/>
        <v>790.9042262695309</v>
      </c>
      <c r="J16" s="95">
        <f t="shared" si="2"/>
        <v>33.651042262695306</v>
      </c>
      <c r="K16" s="96">
        <f t="shared" si="3"/>
        <v>3365.1042262695305</v>
      </c>
    </row>
    <row r="17" spans="1:11" s="109" customFormat="1" ht="11.25">
      <c r="A17" s="111">
        <v>16</v>
      </c>
      <c r="B17" s="120">
        <v>100</v>
      </c>
      <c r="C17" s="53">
        <f>'Cost Tables'!B11</f>
        <v>24.06</v>
      </c>
      <c r="D17" s="51">
        <f t="shared" si="4"/>
        <v>2406</v>
      </c>
      <c r="E17" s="52">
        <f>'Cost Tables'!I11</f>
        <v>64</v>
      </c>
      <c r="F17" s="53">
        <f>'Cost Tables'!$E$37/'PVC vs DI'!E17</f>
        <v>10.2925</v>
      </c>
      <c r="G17" s="51">
        <f>B17*F17</f>
        <v>1029.25</v>
      </c>
      <c r="H17" s="51">
        <f>HLOOKUP($J$5,'Cost Tables'!$H$31:$N$45,8,FALSE)*'Cost Tables'!$K$29</f>
        <v>8.63282717578125</v>
      </c>
      <c r="I17" s="51">
        <f>B17*H17</f>
        <v>863.282717578125</v>
      </c>
      <c r="J17" s="95">
        <f t="shared" si="2"/>
        <v>42.98532717578125</v>
      </c>
      <c r="K17" s="96">
        <f>B17*J17</f>
        <v>4298.532717578125</v>
      </c>
    </row>
    <row r="18" spans="1:11" s="109" customFormat="1" ht="11.25">
      <c r="A18" s="111">
        <v>18</v>
      </c>
      <c r="B18" s="120">
        <v>100</v>
      </c>
      <c r="C18" s="53">
        <f>'Cost Tables'!B12</f>
        <v>30.323999999999998</v>
      </c>
      <c r="D18" s="51">
        <f t="shared" si="4"/>
        <v>3032.3999999999996</v>
      </c>
      <c r="E18" s="52">
        <f>'Cost Tables'!I12</f>
        <v>56</v>
      </c>
      <c r="F18" s="53">
        <f>'Cost Tables'!$E$37/'PVC vs DI'!E18</f>
        <v>11.762857142857143</v>
      </c>
      <c r="G18" s="51">
        <f>B18*F18</f>
        <v>1176.2857142857142</v>
      </c>
      <c r="H18" s="51">
        <f>HLOOKUP($J$5,'Cost Tables'!$H$31:$N$45,9,FALSE)*'Cost Tables'!$K$29</f>
        <v>9.36992219238281</v>
      </c>
      <c r="I18" s="51">
        <f>B18*H18</f>
        <v>936.9922192382811</v>
      </c>
      <c r="J18" s="95">
        <f t="shared" si="2"/>
        <v>51.45677933523995</v>
      </c>
      <c r="K18" s="96">
        <f>B18*J18</f>
        <v>5145.677933523995</v>
      </c>
    </row>
    <row r="19" spans="1:11" s="109" customFormat="1" ht="11.25">
      <c r="A19" s="111">
        <v>20</v>
      </c>
      <c r="B19" s="120">
        <v>100</v>
      </c>
      <c r="C19" s="53">
        <f>'Cost Tables'!D13</f>
        <v>27.23</v>
      </c>
      <c r="D19" s="51">
        <f t="shared" si="4"/>
        <v>2723</v>
      </c>
      <c r="E19" s="52">
        <f>'Cost Tables'!I13</f>
        <v>50</v>
      </c>
      <c r="F19" s="53">
        <f>'Cost Tables'!$E$37/'PVC vs DI'!E19</f>
        <v>13.1744</v>
      </c>
      <c r="G19" s="51">
        <f>B19*F19</f>
        <v>1317.44</v>
      </c>
      <c r="H19" s="51">
        <f>HLOOKUP($J$5,'Cost Tables'!$H$31:$N$45,10,FALSE)*'Cost Tables'!$K$29</f>
        <v>10.120327312500002</v>
      </c>
      <c r="I19" s="51">
        <f>B19*H19</f>
        <v>1012.0327312500002</v>
      </c>
      <c r="J19" s="95">
        <f t="shared" si="2"/>
        <v>50.524727312500005</v>
      </c>
      <c r="K19" s="96">
        <f>B19*J19</f>
        <v>5052.472731250001</v>
      </c>
    </row>
    <row r="20" spans="1:11" s="109" customFormat="1" ht="11.25">
      <c r="A20" s="111">
        <v>24</v>
      </c>
      <c r="B20" s="120">
        <v>100</v>
      </c>
      <c r="C20" s="53">
        <f>'Cost Tables'!D14</f>
        <v>39.32</v>
      </c>
      <c r="D20" s="51">
        <f t="shared" si="4"/>
        <v>3932</v>
      </c>
      <c r="E20" s="52">
        <f>'Cost Tables'!I14</f>
        <v>40</v>
      </c>
      <c r="F20" s="53">
        <f>'Cost Tables'!$E$37/'PVC vs DI'!E20</f>
        <v>16.468</v>
      </c>
      <c r="G20" s="51">
        <f>B20*F20</f>
        <v>1646.8</v>
      </c>
      <c r="H20" s="51">
        <f>HLOOKUP($J$5,'Cost Tables'!$H$31:$N$45,11,FALSE)*'Cost Tables'!$K$29</f>
        <v>11.661067863281247</v>
      </c>
      <c r="I20" s="51">
        <f>B20*H20</f>
        <v>1166.1067863281246</v>
      </c>
      <c r="J20" s="95">
        <f t="shared" si="2"/>
        <v>67.44906786328124</v>
      </c>
      <c r="K20" s="96">
        <f>B20*J20</f>
        <v>6744.906786328124</v>
      </c>
    </row>
    <row r="21" spans="1:11" s="109" customFormat="1" ht="11.25">
      <c r="A21" s="111">
        <v>30</v>
      </c>
      <c r="B21" s="112"/>
      <c r="C21" s="53"/>
      <c r="D21" s="51"/>
      <c r="E21" s="54"/>
      <c r="F21" s="53"/>
      <c r="G21" s="51"/>
      <c r="H21" s="51"/>
      <c r="I21" s="51"/>
      <c r="J21" s="95"/>
      <c r="K21" s="96"/>
    </row>
    <row r="22" spans="1:11" s="109" customFormat="1" ht="11.25">
      <c r="A22" s="111">
        <v>36</v>
      </c>
      <c r="B22" s="112"/>
      <c r="C22" s="53"/>
      <c r="D22" s="51"/>
      <c r="E22" s="54"/>
      <c r="F22" s="53"/>
      <c r="G22" s="51"/>
      <c r="H22" s="51"/>
      <c r="I22" s="51"/>
      <c r="J22" s="95"/>
      <c r="K22" s="96"/>
    </row>
    <row r="23" spans="1:11" s="109" customFormat="1" ht="11.25">
      <c r="A23" s="111">
        <v>42</v>
      </c>
      <c r="B23" s="112"/>
      <c r="C23" s="53"/>
      <c r="D23" s="51"/>
      <c r="E23" s="54"/>
      <c r="F23" s="53"/>
      <c r="G23" s="51"/>
      <c r="H23" s="51"/>
      <c r="I23" s="51"/>
      <c r="J23" s="95"/>
      <c r="K23" s="96"/>
    </row>
    <row r="24" spans="1:11" s="109" customFormat="1" ht="12" thickBot="1">
      <c r="A24" s="113">
        <v>48</v>
      </c>
      <c r="B24" s="114"/>
      <c r="C24" s="57"/>
      <c r="D24" s="55"/>
      <c r="E24" s="56"/>
      <c r="F24" s="57"/>
      <c r="G24" s="55"/>
      <c r="H24" s="55"/>
      <c r="I24" s="55"/>
      <c r="J24" s="97"/>
      <c r="K24" s="98"/>
    </row>
    <row r="25" spans="1:11" s="47" customFormat="1" ht="14.25" thickBot="1" thickTop="1">
      <c r="A25" s="115"/>
      <c r="B25" s="116"/>
      <c r="C25" s="58" t="s">
        <v>18</v>
      </c>
      <c r="D25" s="59">
        <f>SUM(D11:D20)</f>
        <v>17272.6</v>
      </c>
      <c r="E25" s="60"/>
      <c r="F25" s="61" t="s">
        <v>18</v>
      </c>
      <c r="G25" s="59">
        <f>SUM(G11:G20)</f>
        <v>8849.538380952381</v>
      </c>
      <c r="H25" s="85" t="s">
        <v>18</v>
      </c>
      <c r="I25" s="59">
        <f>SUM(I11:I20)</f>
        <v>7686.36056184082</v>
      </c>
      <c r="J25" s="61" t="s">
        <v>18</v>
      </c>
      <c r="K25" s="99">
        <f>SUM(K11:K20)</f>
        <v>33808.4989427932</v>
      </c>
    </row>
    <row r="26" spans="1:11" s="47" customFormat="1" ht="11.25" customHeight="1">
      <c r="A26" s="132"/>
      <c r="B26" s="128"/>
      <c r="C26" s="133"/>
      <c r="D26" s="134"/>
      <c r="E26" s="135"/>
      <c r="F26" s="136"/>
      <c r="G26" s="134"/>
      <c r="H26" s="137"/>
      <c r="I26" s="134"/>
      <c r="J26" s="136"/>
      <c r="K26" s="134"/>
    </row>
    <row r="27" spans="1:11" s="47" customFormat="1" ht="13.5" thickBot="1">
      <c r="A27" s="138" t="s">
        <v>24</v>
      </c>
      <c r="B27" s="139"/>
      <c r="C27" s="140"/>
      <c r="D27" s="140"/>
      <c r="E27" s="140"/>
      <c r="F27" s="140"/>
      <c r="G27" s="140"/>
      <c r="H27" s="140"/>
      <c r="I27" s="140"/>
      <c r="J27" s="140"/>
      <c r="K27" s="140"/>
    </row>
    <row r="28" spans="1:11" s="109" customFormat="1" ht="11.25">
      <c r="A28" s="108" t="s">
        <v>11</v>
      </c>
      <c r="B28" s="48" t="s">
        <v>12</v>
      </c>
      <c r="C28" s="169" t="s">
        <v>19</v>
      </c>
      <c r="D28" s="169"/>
      <c r="E28" s="48" t="s">
        <v>13</v>
      </c>
      <c r="F28" s="167" t="s">
        <v>20</v>
      </c>
      <c r="G28" s="168"/>
      <c r="H28" s="169" t="s">
        <v>14</v>
      </c>
      <c r="I28" s="169"/>
      <c r="J28" s="169" t="s">
        <v>15</v>
      </c>
      <c r="K28" s="170"/>
    </row>
    <row r="29" spans="1:11" s="109" customFormat="1" ht="11.25">
      <c r="A29" s="110" t="s">
        <v>2</v>
      </c>
      <c r="B29" s="50" t="s">
        <v>16</v>
      </c>
      <c r="C29" s="49" t="s">
        <v>1</v>
      </c>
      <c r="D29" s="49" t="s">
        <v>17</v>
      </c>
      <c r="E29" s="50" t="s">
        <v>21</v>
      </c>
      <c r="F29" s="49" t="s">
        <v>1</v>
      </c>
      <c r="G29" s="49" t="s">
        <v>17</v>
      </c>
      <c r="H29" s="49" t="s">
        <v>1</v>
      </c>
      <c r="I29" s="49" t="s">
        <v>17</v>
      </c>
      <c r="J29" s="49" t="s">
        <v>1</v>
      </c>
      <c r="K29" s="94" t="s">
        <v>17</v>
      </c>
    </row>
    <row r="30" spans="1:11" s="109" customFormat="1" ht="11.25">
      <c r="A30" s="111">
        <v>4</v>
      </c>
      <c r="B30" s="112">
        <f>B11</f>
        <v>100</v>
      </c>
      <c r="C30" s="53">
        <f>'Cost Tables'!C5</f>
        <v>9</v>
      </c>
      <c r="D30" s="51">
        <f>C30*B30</f>
        <v>900</v>
      </c>
      <c r="E30" s="52">
        <f>'Cost Tables'!J5</f>
        <v>100</v>
      </c>
      <c r="F30" s="53">
        <f>'Cost Tables'!$E$37/'PVC vs DI'!E30</f>
        <v>6.5872</v>
      </c>
      <c r="G30" s="51">
        <f aca="true" t="shared" si="5" ref="G30:G39">B30*F30</f>
        <v>658.72</v>
      </c>
      <c r="H30" s="51">
        <f>HLOOKUP($J$7,'Cost Tables'!$H$31:$N$45,2,FALSE)*'Cost Tables'!$K$29</f>
        <v>4.489769249999999</v>
      </c>
      <c r="I30" s="51">
        <f aca="true" t="shared" si="6" ref="I30:I39">B30*H30</f>
        <v>448.97692499999994</v>
      </c>
      <c r="J30" s="95">
        <f aca="true" t="shared" si="7" ref="J30:J39">C30+F30+H30</f>
        <v>20.076969249999998</v>
      </c>
      <c r="K30" s="96">
        <f aca="true" t="shared" si="8" ref="K30:K39">B30*J30</f>
        <v>2007.6969249999997</v>
      </c>
    </row>
    <row r="31" spans="1:11" s="109" customFormat="1" ht="11.25">
      <c r="A31" s="111">
        <v>6</v>
      </c>
      <c r="B31" s="112">
        <f>B12</f>
        <v>100</v>
      </c>
      <c r="C31" s="53">
        <f>'Cost Tables'!C6</f>
        <v>14.735999999999999</v>
      </c>
      <c r="D31" s="51">
        <f>C31*B31</f>
        <v>1473.6</v>
      </c>
      <c r="E31" s="52">
        <f>'Cost Tables'!J6</f>
        <v>100</v>
      </c>
      <c r="F31" s="53">
        <f>'Cost Tables'!$E$37/'PVC vs DI'!E31</f>
        <v>6.5872</v>
      </c>
      <c r="G31" s="51">
        <f t="shared" si="5"/>
        <v>658.72</v>
      </c>
      <c r="H31" s="51">
        <f>HLOOKUP($J$7,'Cost Tables'!$H$31:$N$45,3,FALSE)*'Cost Tables'!$K$29</f>
        <v>5.147003645507811</v>
      </c>
      <c r="I31" s="51">
        <f t="shared" si="6"/>
        <v>514.7003645507812</v>
      </c>
      <c r="J31" s="95">
        <f t="shared" si="7"/>
        <v>26.470203645507812</v>
      </c>
      <c r="K31" s="96">
        <f t="shared" si="8"/>
        <v>2647.0203645507813</v>
      </c>
    </row>
    <row r="32" spans="1:11" s="109" customFormat="1" ht="11.25">
      <c r="A32" s="111">
        <v>8</v>
      </c>
      <c r="B32" s="112">
        <f aca="true" t="shared" si="9" ref="B32:B39">B13</f>
        <v>100</v>
      </c>
      <c r="C32" s="53">
        <f>'Cost Tables'!C7</f>
        <v>18.384</v>
      </c>
      <c r="D32" s="51">
        <f aca="true" t="shared" si="10" ref="D32:D39">C32*B32</f>
        <v>1838.4</v>
      </c>
      <c r="E32" s="52">
        <f>'Cost Tables'!J7</f>
        <v>100</v>
      </c>
      <c r="F32" s="53">
        <f>'Cost Tables'!$E$37/'PVC vs DI'!E32</f>
        <v>6.5872</v>
      </c>
      <c r="G32" s="51">
        <f t="shared" si="5"/>
        <v>658.72</v>
      </c>
      <c r="H32" s="51">
        <f>HLOOKUP($J$7,'Cost Tables'!$H$31:$N$45,4,FALSE)*'Cost Tables'!$K$29</f>
        <v>5.833675716064452</v>
      </c>
      <c r="I32" s="51">
        <f t="shared" si="6"/>
        <v>583.3675716064452</v>
      </c>
      <c r="J32" s="95">
        <f t="shared" si="7"/>
        <v>30.80487571606445</v>
      </c>
      <c r="K32" s="96">
        <f t="shared" si="8"/>
        <v>3080.4875716064453</v>
      </c>
    </row>
    <row r="33" spans="1:11" s="109" customFormat="1" ht="11.25">
      <c r="A33" s="111">
        <v>10</v>
      </c>
      <c r="B33" s="112">
        <f t="shared" si="9"/>
        <v>100</v>
      </c>
      <c r="C33" s="53">
        <f>'Cost Tables'!C8</f>
        <v>23.747999999999998</v>
      </c>
      <c r="D33" s="51">
        <f t="shared" si="10"/>
        <v>2374.7999999999997</v>
      </c>
      <c r="E33" s="52">
        <f>'Cost Tables'!J8</f>
        <v>90</v>
      </c>
      <c r="F33" s="53">
        <f>'Cost Tables'!$E$37/'PVC vs DI'!E33</f>
        <v>7.319111111111112</v>
      </c>
      <c r="G33" s="51">
        <f t="shared" si="5"/>
        <v>731.9111111111112</v>
      </c>
      <c r="H33" s="51">
        <f>HLOOKUP($J$7,'Cost Tables'!$H$31:$N$45,5,FALSE)*'Cost Tables'!$K$29</f>
        <v>6.501402747070312</v>
      </c>
      <c r="I33" s="51">
        <f t="shared" si="6"/>
        <v>650.1402747070312</v>
      </c>
      <c r="J33" s="95">
        <f t="shared" si="7"/>
        <v>37.56851385818142</v>
      </c>
      <c r="K33" s="96">
        <f t="shared" si="8"/>
        <v>3756.851385818142</v>
      </c>
    </row>
    <row r="34" spans="1:11" s="109" customFormat="1" ht="11.25">
      <c r="A34" s="111">
        <v>12</v>
      </c>
      <c r="B34" s="112">
        <f t="shared" si="9"/>
        <v>100</v>
      </c>
      <c r="C34" s="53">
        <f>'Cost Tables'!C9</f>
        <v>30.432</v>
      </c>
      <c r="D34" s="51">
        <f t="shared" si="10"/>
        <v>3043.2</v>
      </c>
      <c r="E34" s="52">
        <f>'Cost Tables'!J9</f>
        <v>85</v>
      </c>
      <c r="F34" s="53">
        <f>'Cost Tables'!$E$37/'PVC vs DI'!E34</f>
        <v>7.7496470588235296</v>
      </c>
      <c r="G34" s="51">
        <f t="shared" si="5"/>
        <v>774.964705882353</v>
      </c>
      <c r="H34" s="51">
        <f>HLOOKUP($J$7,'Cost Tables'!$H$31:$N$45,6,FALSE)*'Cost Tables'!$K$29</f>
        <v>7.198567453125</v>
      </c>
      <c r="I34" s="51">
        <f t="shared" si="6"/>
        <v>719.8567453125</v>
      </c>
      <c r="J34" s="95">
        <f t="shared" si="7"/>
        <v>45.38021451194853</v>
      </c>
      <c r="K34" s="96">
        <f t="shared" si="8"/>
        <v>4538.021451194853</v>
      </c>
    </row>
    <row r="35" spans="1:11" s="109" customFormat="1" ht="11.25">
      <c r="A35" s="111">
        <v>14</v>
      </c>
      <c r="B35" s="112">
        <f t="shared" si="9"/>
        <v>100</v>
      </c>
      <c r="C35" s="53">
        <f>'Cost Tables'!C10</f>
        <v>40.3</v>
      </c>
      <c r="D35" s="51">
        <f t="shared" si="10"/>
        <v>4029.9999999999995</v>
      </c>
      <c r="E35" s="52">
        <f>'Cost Tables'!J10</f>
        <v>70</v>
      </c>
      <c r="F35" s="53">
        <f>'Cost Tables'!$E$37/'PVC vs DI'!E35</f>
        <v>9.410285714285715</v>
      </c>
      <c r="G35" s="51">
        <f t="shared" si="5"/>
        <v>941.0285714285715</v>
      </c>
      <c r="H35" s="51">
        <f>HLOOKUP($J$7,'Cost Tables'!$H$31:$N$45,7,FALSE)*'Cost Tables'!$K$29</f>
        <v>7.909042262695309</v>
      </c>
      <c r="I35" s="51">
        <f t="shared" si="6"/>
        <v>790.9042262695309</v>
      </c>
      <c r="J35" s="95">
        <f t="shared" si="7"/>
        <v>57.61932797698102</v>
      </c>
      <c r="K35" s="96">
        <f t="shared" si="8"/>
        <v>5761.932797698102</v>
      </c>
    </row>
    <row r="36" spans="1:11" s="109" customFormat="1" ht="11.25">
      <c r="A36" s="111">
        <v>16</v>
      </c>
      <c r="B36" s="112">
        <f t="shared" si="9"/>
        <v>100</v>
      </c>
      <c r="C36" s="53">
        <f>'Cost Tables'!C11</f>
        <v>50.172000000000004</v>
      </c>
      <c r="D36" s="51">
        <f t="shared" si="10"/>
        <v>5017.200000000001</v>
      </c>
      <c r="E36" s="52">
        <f>'Cost Tables'!J11</f>
        <v>58</v>
      </c>
      <c r="F36" s="53">
        <f>'Cost Tables'!$E$37/'PVC vs DI'!E36</f>
        <v>11.357241379310345</v>
      </c>
      <c r="G36" s="51">
        <f t="shared" si="5"/>
        <v>1135.7241379310344</v>
      </c>
      <c r="H36" s="51">
        <f>HLOOKUP($J$7,'Cost Tables'!$H$31:$N$45,8,FALSE)*'Cost Tables'!$K$29</f>
        <v>8.63282717578125</v>
      </c>
      <c r="I36" s="51">
        <f t="shared" si="6"/>
        <v>863.282717578125</v>
      </c>
      <c r="J36" s="95">
        <f t="shared" si="7"/>
        <v>70.1620685550916</v>
      </c>
      <c r="K36" s="96">
        <f t="shared" si="8"/>
        <v>7016.206855509159</v>
      </c>
    </row>
    <row r="37" spans="1:11" s="109" customFormat="1" ht="11.25">
      <c r="A37" s="111">
        <v>18</v>
      </c>
      <c r="B37" s="112">
        <f t="shared" si="9"/>
        <v>100</v>
      </c>
      <c r="C37" s="53">
        <f>'Cost Tables'!C12</f>
        <v>62.37599999999999</v>
      </c>
      <c r="D37" s="51">
        <f t="shared" si="10"/>
        <v>6237.599999999999</v>
      </c>
      <c r="E37" s="52">
        <f>'Cost Tables'!J12</f>
        <v>50</v>
      </c>
      <c r="F37" s="53">
        <f>'Cost Tables'!$E$37/'PVC vs DI'!E37</f>
        <v>13.1744</v>
      </c>
      <c r="G37" s="51">
        <f t="shared" si="5"/>
        <v>1317.44</v>
      </c>
      <c r="H37" s="51">
        <f>HLOOKUP($J$7,'Cost Tables'!$H$31:$N$45,9,FALSE)*'Cost Tables'!$K$29</f>
        <v>9.36992219238281</v>
      </c>
      <c r="I37" s="51">
        <f t="shared" si="6"/>
        <v>936.9922192382811</v>
      </c>
      <c r="J37" s="95">
        <f t="shared" si="7"/>
        <v>84.92032219238281</v>
      </c>
      <c r="K37" s="96">
        <f t="shared" si="8"/>
        <v>8492.032219238281</v>
      </c>
    </row>
    <row r="38" spans="1:11" s="109" customFormat="1" ht="11.25">
      <c r="A38" s="111">
        <v>20</v>
      </c>
      <c r="B38" s="112">
        <f t="shared" si="9"/>
        <v>100</v>
      </c>
      <c r="C38" s="53">
        <f>'Cost Tables'!E13</f>
        <v>58.3</v>
      </c>
      <c r="D38" s="51">
        <f t="shared" si="10"/>
        <v>5830</v>
      </c>
      <c r="E38" s="52">
        <f>'Cost Tables'!J13</f>
        <v>45</v>
      </c>
      <c r="F38" s="53">
        <f>'Cost Tables'!$E$37/'PVC vs DI'!E38</f>
        <v>14.638222222222224</v>
      </c>
      <c r="G38" s="51">
        <f t="shared" si="5"/>
        <v>1463.8222222222223</v>
      </c>
      <c r="H38" s="51">
        <f>HLOOKUP($J$7,'Cost Tables'!$H$31:$N$45,10,FALSE)*'Cost Tables'!$K$29</f>
        <v>10.120327312500002</v>
      </c>
      <c r="I38" s="51">
        <f t="shared" si="6"/>
        <v>1012.0327312500002</v>
      </c>
      <c r="J38" s="95">
        <f t="shared" si="7"/>
        <v>83.05854953472223</v>
      </c>
      <c r="K38" s="96">
        <f t="shared" si="8"/>
        <v>8305.854953472222</v>
      </c>
    </row>
    <row r="39" spans="1:11" s="109" customFormat="1" ht="11.25">
      <c r="A39" s="111">
        <v>24</v>
      </c>
      <c r="B39" s="112">
        <f t="shared" si="9"/>
        <v>100</v>
      </c>
      <c r="C39" s="53">
        <f>'Cost Tables'!E14</f>
        <v>65.928</v>
      </c>
      <c r="D39" s="51">
        <f t="shared" si="10"/>
        <v>6592.799999999999</v>
      </c>
      <c r="E39" s="52">
        <f>'Cost Tables'!J14</f>
        <v>35</v>
      </c>
      <c r="F39" s="53">
        <f>'Cost Tables'!$E$37/'PVC vs DI'!E39</f>
        <v>18.82057142857143</v>
      </c>
      <c r="G39" s="51">
        <f t="shared" si="5"/>
        <v>1882.057142857143</v>
      </c>
      <c r="H39" s="51">
        <f>HLOOKUP($J$7,'Cost Tables'!$H$31:$N$45,11,FALSE)*'Cost Tables'!$K$29</f>
        <v>11.661067863281247</v>
      </c>
      <c r="I39" s="51">
        <f t="shared" si="6"/>
        <v>1166.1067863281246</v>
      </c>
      <c r="J39" s="95">
        <f t="shared" si="7"/>
        <v>96.40963929185267</v>
      </c>
      <c r="K39" s="96">
        <f t="shared" si="8"/>
        <v>9640.963929185267</v>
      </c>
    </row>
    <row r="40" spans="1:11" s="109" customFormat="1" ht="11.25">
      <c r="A40" s="111">
        <v>30</v>
      </c>
      <c r="B40" s="112"/>
      <c r="C40" s="53"/>
      <c r="D40" s="51"/>
      <c r="E40" s="54"/>
      <c r="F40" s="53"/>
      <c r="G40" s="51"/>
      <c r="H40" s="51"/>
      <c r="I40" s="51"/>
      <c r="J40" s="95"/>
      <c r="K40" s="96"/>
    </row>
    <row r="41" spans="1:11" s="109" customFormat="1" ht="11.25">
      <c r="A41" s="111">
        <v>36</v>
      </c>
      <c r="B41" s="112"/>
      <c r="C41" s="53"/>
      <c r="D41" s="51"/>
      <c r="E41" s="54"/>
      <c r="F41" s="53"/>
      <c r="G41" s="51"/>
      <c r="H41" s="51"/>
      <c r="I41" s="51"/>
      <c r="J41" s="95"/>
      <c r="K41" s="96"/>
    </row>
    <row r="42" spans="1:11" s="109" customFormat="1" ht="11.25">
      <c r="A42" s="111">
        <v>42</v>
      </c>
      <c r="B42" s="112"/>
      <c r="C42" s="53"/>
      <c r="D42" s="51"/>
      <c r="E42" s="54"/>
      <c r="F42" s="53"/>
      <c r="G42" s="51"/>
      <c r="H42" s="51"/>
      <c r="I42" s="51"/>
      <c r="J42" s="95"/>
      <c r="K42" s="96"/>
    </row>
    <row r="43" spans="1:11" s="109" customFormat="1" ht="12" thickBot="1">
      <c r="A43" s="113">
        <v>48</v>
      </c>
      <c r="B43" s="114"/>
      <c r="C43" s="57"/>
      <c r="D43" s="55"/>
      <c r="E43" s="56"/>
      <c r="F43" s="57"/>
      <c r="G43" s="55"/>
      <c r="H43" s="55"/>
      <c r="I43" s="55"/>
      <c r="J43" s="97"/>
      <c r="K43" s="98"/>
    </row>
    <row r="44" spans="1:11" s="47" customFormat="1" ht="14.25" thickBot="1" thickTop="1">
      <c r="A44" s="117"/>
      <c r="B44" s="118"/>
      <c r="C44" s="62" t="s">
        <v>18</v>
      </c>
      <c r="D44" s="63">
        <f>SUM(D30:D39)</f>
        <v>37337.6</v>
      </c>
      <c r="E44" s="64"/>
      <c r="F44" s="65" t="s">
        <v>18</v>
      </c>
      <c r="G44" s="63">
        <f>SUM(G30:G39)</f>
        <v>10223.107891432435</v>
      </c>
      <c r="H44" s="86" t="s">
        <v>18</v>
      </c>
      <c r="I44" s="63">
        <f>SUM(I30:I39)</f>
        <v>7686.36056184082</v>
      </c>
      <c r="J44" s="65" t="s">
        <v>18</v>
      </c>
      <c r="K44" s="100">
        <f>SUM(K30:K39)</f>
        <v>55247.068453273256</v>
      </c>
    </row>
    <row r="45" spans="1:11" s="47" customFormat="1" ht="11.25" customHeight="1">
      <c r="A45" s="132"/>
      <c r="B45" s="128"/>
      <c r="C45" s="133"/>
      <c r="D45" s="134"/>
      <c r="E45" s="135"/>
      <c r="F45" s="136"/>
      <c r="G45" s="134"/>
      <c r="H45" s="137"/>
      <c r="I45" s="134"/>
      <c r="J45" s="136"/>
      <c r="K45" s="134"/>
    </row>
    <row r="46" spans="1:11" ht="13.5" thickBot="1">
      <c r="A46" s="141"/>
      <c r="B46" s="142"/>
      <c r="C46" s="141"/>
      <c r="D46" s="138" t="s">
        <v>22</v>
      </c>
      <c r="E46" s="141"/>
      <c r="F46" s="141"/>
      <c r="G46" s="141"/>
      <c r="H46" s="141"/>
      <c r="I46" s="141"/>
      <c r="J46" s="141"/>
      <c r="K46" s="141"/>
    </row>
    <row r="47" spans="1:11" s="66" customFormat="1" ht="25.5" customHeight="1">
      <c r="A47" s="143"/>
      <c r="B47" s="144"/>
      <c r="C47" s="143"/>
      <c r="D47" s="67"/>
      <c r="E47" s="68"/>
      <c r="F47" s="180" t="s">
        <v>27</v>
      </c>
      <c r="G47" s="181"/>
      <c r="H47" s="180" t="s">
        <v>4</v>
      </c>
      <c r="I47" s="182"/>
      <c r="J47" s="180" t="s">
        <v>28</v>
      </c>
      <c r="K47" s="183"/>
    </row>
    <row r="48" spans="1:11" s="66" customFormat="1" ht="11.25">
      <c r="A48" s="143"/>
      <c r="B48" s="144"/>
      <c r="C48" s="143"/>
      <c r="D48" s="69" t="s">
        <v>19</v>
      </c>
      <c r="E48" s="70"/>
      <c r="F48" s="71"/>
      <c r="G48" s="72">
        <f>D25</f>
        <v>17272.6</v>
      </c>
      <c r="H48" s="87"/>
      <c r="I48" s="88">
        <f>D44</f>
        <v>37337.6</v>
      </c>
      <c r="J48" s="101"/>
      <c r="K48" s="102">
        <f>I48-G48</f>
        <v>20065</v>
      </c>
    </row>
    <row r="49" spans="1:11" s="66" customFormat="1" ht="11.25">
      <c r="A49" s="143"/>
      <c r="B49" s="144"/>
      <c r="C49" s="143"/>
      <c r="D49" s="73" t="s">
        <v>26</v>
      </c>
      <c r="E49" s="74"/>
      <c r="F49" s="75"/>
      <c r="G49" s="76">
        <f>G25</f>
        <v>8849.538380952381</v>
      </c>
      <c r="H49" s="89"/>
      <c r="I49" s="72">
        <f>G44</f>
        <v>10223.107891432435</v>
      </c>
      <c r="J49" s="101"/>
      <c r="K49" s="103">
        <f>I49-G49</f>
        <v>1373.5695104800543</v>
      </c>
    </row>
    <row r="50" spans="1:11" s="66" customFormat="1" ht="12" thickBot="1">
      <c r="A50" s="143"/>
      <c r="B50" s="144"/>
      <c r="C50" s="143"/>
      <c r="D50" s="77" t="s">
        <v>14</v>
      </c>
      <c r="E50" s="78"/>
      <c r="F50" s="79"/>
      <c r="G50" s="80">
        <f>I25</f>
        <v>7686.36056184082</v>
      </c>
      <c r="H50" s="90"/>
      <c r="I50" s="91">
        <f>I44</f>
        <v>7686.36056184082</v>
      </c>
      <c r="J50" s="104"/>
      <c r="K50" s="105">
        <f>I50-G50</f>
        <v>0</v>
      </c>
    </row>
    <row r="51" spans="1:11" s="66" customFormat="1" ht="14.25" thickBot="1" thickTop="1">
      <c r="A51" s="143"/>
      <c r="B51" s="143"/>
      <c r="C51" s="143"/>
      <c r="D51" s="81" t="s">
        <v>15</v>
      </c>
      <c r="E51" s="82"/>
      <c r="F51" s="83"/>
      <c r="G51" s="84">
        <f>K25</f>
        <v>33808.4989427932</v>
      </c>
      <c r="H51" s="92"/>
      <c r="I51" s="93">
        <f>K44</f>
        <v>55247.068453273256</v>
      </c>
      <c r="J51" s="106"/>
      <c r="K51" s="107">
        <f>I51-G51</f>
        <v>21438.569510480054</v>
      </c>
    </row>
    <row r="52" spans="1:11" s="66" customFormat="1" ht="11.25">
      <c r="A52" s="143"/>
      <c r="B52" s="143"/>
      <c r="C52" s="143"/>
      <c r="D52" s="145"/>
      <c r="E52" s="146"/>
      <c r="F52" s="147"/>
      <c r="G52" s="148"/>
      <c r="H52" s="149"/>
      <c r="I52" s="148"/>
      <c r="J52" s="125"/>
      <c r="K52" s="150"/>
    </row>
    <row r="53" spans="1:11" s="119" customFormat="1" ht="12.75" customHeight="1">
      <c r="A53" s="171" t="s">
        <v>68</v>
      </c>
      <c r="B53" s="172"/>
      <c r="C53" s="172"/>
      <c r="D53" s="172"/>
      <c r="E53" s="172"/>
      <c r="F53" s="172"/>
      <c r="G53" s="172"/>
      <c r="H53" s="172"/>
      <c r="I53" s="172"/>
      <c r="J53" s="172"/>
      <c r="K53" s="173"/>
    </row>
    <row r="54" spans="1:11" s="119" customFormat="1" ht="12.75">
      <c r="A54" s="174"/>
      <c r="B54" s="175"/>
      <c r="C54" s="175"/>
      <c r="D54" s="175"/>
      <c r="E54" s="175"/>
      <c r="F54" s="175"/>
      <c r="G54" s="175"/>
      <c r="H54" s="175"/>
      <c r="I54" s="175"/>
      <c r="J54" s="175"/>
      <c r="K54" s="176"/>
    </row>
    <row r="55" spans="1:11" ht="12.75">
      <c r="A55" s="177"/>
      <c r="B55" s="178"/>
      <c r="C55" s="178"/>
      <c r="D55" s="178"/>
      <c r="E55" s="178"/>
      <c r="F55" s="178"/>
      <c r="G55" s="178"/>
      <c r="H55" s="178"/>
      <c r="I55" s="178"/>
      <c r="J55" s="178"/>
      <c r="K55" s="179"/>
    </row>
  </sheetData>
  <sheetProtection password="EF74" sheet="1" objects="1" scenarios="1"/>
  <mergeCells count="15">
    <mergeCell ref="A53:K55"/>
    <mergeCell ref="C28:D28"/>
    <mergeCell ref="F28:G28"/>
    <mergeCell ref="H28:I28"/>
    <mergeCell ref="J28:K28"/>
    <mergeCell ref="F47:G47"/>
    <mergeCell ref="H47:I47"/>
    <mergeCell ref="J47:K47"/>
    <mergeCell ref="A1:K1"/>
    <mergeCell ref="H3:K3"/>
    <mergeCell ref="H6:I6"/>
    <mergeCell ref="F9:G9"/>
    <mergeCell ref="C9:D9"/>
    <mergeCell ref="H9:I9"/>
    <mergeCell ref="J9:K9"/>
  </mergeCells>
  <conditionalFormatting sqref="K48:K51">
    <cfRule type="cellIs" priority="1" dxfId="0" operator="lessThan" stopIfTrue="1">
      <formula>0</formula>
    </cfRule>
  </conditionalFormatting>
  <printOptions/>
  <pageMargins left="0.25" right="0.5" top="0" bottom="0" header="0.5" footer="0.5"/>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sheetPr codeName="Sheet2"/>
  <dimension ref="A1:O47"/>
  <sheetViews>
    <sheetView zoomScalePageLayoutView="0" workbookViewId="0" topLeftCell="A1">
      <selection activeCell="E15" sqref="E15"/>
    </sheetView>
  </sheetViews>
  <sheetFormatPr defaultColWidth="9.140625" defaultRowHeight="12.75"/>
  <cols>
    <col min="1" max="1" width="8.7109375" style="0" customWidth="1"/>
    <col min="2" max="5" width="12.7109375" style="0" customWidth="1"/>
    <col min="6" max="6" width="9.140625" style="1" customWidth="1"/>
    <col min="9" max="15" width="12.7109375" style="0" customWidth="1"/>
  </cols>
  <sheetData>
    <row r="1" spans="1:8" ht="12.75">
      <c r="A1" s="5" t="s">
        <v>29</v>
      </c>
      <c r="H1" s="5" t="s">
        <v>38</v>
      </c>
    </row>
    <row r="2" spans="1:10" s="6" customFormat="1" ht="11.25">
      <c r="A2" s="7" t="s">
        <v>0</v>
      </c>
      <c r="B2" s="8" t="s">
        <v>7</v>
      </c>
      <c r="C2" s="9" t="s">
        <v>4</v>
      </c>
      <c r="D2" s="8" t="s">
        <v>9</v>
      </c>
      <c r="E2" s="9" t="s">
        <v>4</v>
      </c>
      <c r="F2" s="10"/>
      <c r="H2" s="7" t="s">
        <v>0</v>
      </c>
      <c r="I2" s="8" t="s">
        <v>7</v>
      </c>
      <c r="J2" s="9" t="s">
        <v>4</v>
      </c>
    </row>
    <row r="3" spans="1:10" s="6" customFormat="1" ht="11.25">
      <c r="A3" s="11"/>
      <c r="B3" s="12" t="s">
        <v>8</v>
      </c>
      <c r="C3" s="13" t="s">
        <v>3</v>
      </c>
      <c r="D3" s="12" t="s">
        <v>10</v>
      </c>
      <c r="E3" s="13" t="s">
        <v>5</v>
      </c>
      <c r="F3" s="10"/>
      <c r="H3" s="11"/>
      <c r="I3" s="12"/>
      <c r="J3" s="13"/>
    </row>
    <row r="4" spans="1:10" s="6" customFormat="1" ht="11.25">
      <c r="A4" s="14" t="s">
        <v>2</v>
      </c>
      <c r="B4" s="15" t="s">
        <v>1</v>
      </c>
      <c r="C4" s="16" t="s">
        <v>1</v>
      </c>
      <c r="D4" s="15" t="s">
        <v>1</v>
      </c>
      <c r="E4" s="16" t="s">
        <v>1</v>
      </c>
      <c r="F4" s="10"/>
      <c r="H4" s="14" t="s">
        <v>2</v>
      </c>
      <c r="I4" s="15" t="s">
        <v>21</v>
      </c>
      <c r="J4" s="16" t="s">
        <v>21</v>
      </c>
    </row>
    <row r="5" spans="1:10" s="6" customFormat="1" ht="11.25">
      <c r="A5" s="17">
        <v>4</v>
      </c>
      <c r="B5" s="18">
        <v>1.884</v>
      </c>
      <c r="C5" s="18">
        <v>9</v>
      </c>
      <c r="D5" s="18"/>
      <c r="E5" s="18"/>
      <c r="F5" s="10"/>
      <c r="G5" s="43"/>
      <c r="H5" s="17">
        <v>4</v>
      </c>
      <c r="I5" s="27">
        <v>150</v>
      </c>
      <c r="J5" s="39">
        <v>100</v>
      </c>
    </row>
    <row r="6" spans="1:10" s="6" customFormat="1" ht="11.25">
      <c r="A6" s="17">
        <v>6</v>
      </c>
      <c r="B6" s="18">
        <v>3.6839999999999997</v>
      </c>
      <c r="C6" s="18">
        <v>14.735999999999999</v>
      </c>
      <c r="D6" s="18"/>
      <c r="E6" s="18"/>
      <c r="F6" s="10"/>
      <c r="G6" s="43"/>
      <c r="H6" s="17">
        <v>6</v>
      </c>
      <c r="I6" s="27">
        <v>125</v>
      </c>
      <c r="J6" s="27">
        <v>100</v>
      </c>
    </row>
    <row r="7" spans="1:10" s="6" customFormat="1" ht="11.25">
      <c r="A7" s="17">
        <v>8</v>
      </c>
      <c r="B7" s="18">
        <v>6.3</v>
      </c>
      <c r="C7" s="18">
        <v>18.384</v>
      </c>
      <c r="D7" s="18"/>
      <c r="E7" s="18"/>
      <c r="F7" s="10"/>
      <c r="G7" s="43"/>
      <c r="H7" s="17">
        <v>8</v>
      </c>
      <c r="I7" s="27">
        <v>115</v>
      </c>
      <c r="J7" s="27">
        <v>100</v>
      </c>
    </row>
    <row r="8" spans="1:10" s="6" customFormat="1" ht="11.25">
      <c r="A8" s="17">
        <v>10</v>
      </c>
      <c r="B8" s="18">
        <v>9.588</v>
      </c>
      <c r="C8" s="18">
        <v>23.747999999999998</v>
      </c>
      <c r="D8" s="18"/>
      <c r="E8" s="18"/>
      <c r="F8" s="10"/>
      <c r="G8" s="43"/>
      <c r="H8" s="17">
        <v>10</v>
      </c>
      <c r="I8" s="27">
        <v>100</v>
      </c>
      <c r="J8" s="27">
        <v>90</v>
      </c>
    </row>
    <row r="9" spans="1:10" s="6" customFormat="1" ht="11.25">
      <c r="A9" s="17">
        <v>12</v>
      </c>
      <c r="B9" s="18">
        <v>13.511999999999999</v>
      </c>
      <c r="C9" s="18">
        <v>30.432</v>
      </c>
      <c r="D9" s="18"/>
      <c r="E9" s="18"/>
      <c r="F9" s="10"/>
      <c r="G9" s="43"/>
      <c r="H9" s="17">
        <v>12</v>
      </c>
      <c r="I9" s="27">
        <v>100</v>
      </c>
      <c r="J9" s="27">
        <v>85</v>
      </c>
    </row>
    <row r="10" spans="1:10" s="6" customFormat="1" ht="11.25">
      <c r="A10" s="17">
        <v>14</v>
      </c>
      <c r="B10" s="18">
        <v>17.508</v>
      </c>
      <c r="C10" s="18">
        <v>40.3</v>
      </c>
      <c r="D10" s="18">
        <v>13.44</v>
      </c>
      <c r="E10" s="18"/>
      <c r="F10" s="10"/>
      <c r="G10" s="43"/>
      <c r="H10" s="17">
        <v>14</v>
      </c>
      <c r="I10" s="27">
        <v>80</v>
      </c>
      <c r="J10" s="27">
        <v>70</v>
      </c>
    </row>
    <row r="11" spans="1:10" s="6" customFormat="1" ht="11.25">
      <c r="A11" s="17">
        <v>16</v>
      </c>
      <c r="B11" s="18">
        <v>24.06</v>
      </c>
      <c r="C11" s="18">
        <v>50.172000000000004</v>
      </c>
      <c r="D11" s="18">
        <v>17.51</v>
      </c>
      <c r="E11" s="18">
        <v>43.727999999999994</v>
      </c>
      <c r="F11" s="10"/>
      <c r="G11" s="43"/>
      <c r="H11" s="17">
        <v>16</v>
      </c>
      <c r="I11" s="27">
        <v>64</v>
      </c>
      <c r="J11" s="27">
        <v>58</v>
      </c>
    </row>
    <row r="12" spans="1:10" s="6" customFormat="1" ht="11.25">
      <c r="A12" s="17">
        <v>18</v>
      </c>
      <c r="B12" s="18">
        <v>30.323999999999998</v>
      </c>
      <c r="C12" s="18">
        <v>62.37599999999999</v>
      </c>
      <c r="D12" s="18">
        <v>22.08</v>
      </c>
      <c r="E12" s="18">
        <v>50.59199999999999</v>
      </c>
      <c r="F12" s="10"/>
      <c r="G12" s="43"/>
      <c r="H12" s="17">
        <v>18</v>
      </c>
      <c r="I12" s="27">
        <v>56</v>
      </c>
      <c r="J12" s="27">
        <v>50</v>
      </c>
    </row>
    <row r="13" spans="1:10" s="6" customFormat="1" ht="11.25">
      <c r="A13" s="17">
        <v>20</v>
      </c>
      <c r="B13" s="18">
        <v>37.416</v>
      </c>
      <c r="C13" s="18"/>
      <c r="D13" s="18">
        <v>27.23</v>
      </c>
      <c r="E13" s="18">
        <v>58.3</v>
      </c>
      <c r="F13" s="10"/>
      <c r="G13" s="43"/>
      <c r="H13" s="17">
        <v>20</v>
      </c>
      <c r="I13" s="27">
        <v>50</v>
      </c>
      <c r="J13" s="27">
        <v>45</v>
      </c>
    </row>
    <row r="14" spans="1:10" s="6" customFormat="1" ht="11.25">
      <c r="A14" s="17">
        <v>24</v>
      </c>
      <c r="B14" s="18">
        <v>53.796</v>
      </c>
      <c r="C14" s="18"/>
      <c r="D14" s="18">
        <v>39.32</v>
      </c>
      <c r="E14" s="18">
        <v>65.928</v>
      </c>
      <c r="F14" s="10"/>
      <c r="G14" s="43"/>
      <c r="H14" s="17">
        <v>24</v>
      </c>
      <c r="I14" s="27">
        <v>40</v>
      </c>
      <c r="J14" s="27">
        <v>35</v>
      </c>
    </row>
    <row r="15" spans="1:10" s="6" customFormat="1" ht="11.25">
      <c r="A15" s="17">
        <v>30</v>
      </c>
      <c r="B15" s="18"/>
      <c r="C15" s="18"/>
      <c r="D15" s="18"/>
      <c r="E15" s="18"/>
      <c r="F15" s="10"/>
      <c r="G15" s="10"/>
      <c r="H15" s="17">
        <v>30</v>
      </c>
      <c r="I15" s="27"/>
      <c r="J15" s="27"/>
    </row>
    <row r="16" spans="1:10" s="6" customFormat="1" ht="11.25">
      <c r="A16" s="17">
        <v>36</v>
      </c>
      <c r="B16" s="18"/>
      <c r="C16" s="18"/>
      <c r="D16" s="18"/>
      <c r="E16" s="18"/>
      <c r="F16" s="10"/>
      <c r="G16" s="10"/>
      <c r="H16" s="17">
        <v>36</v>
      </c>
      <c r="I16" s="27"/>
      <c r="J16" s="27"/>
    </row>
    <row r="17" spans="1:10" s="6" customFormat="1" ht="11.25">
      <c r="A17" s="17">
        <v>42</v>
      </c>
      <c r="B17" s="18"/>
      <c r="C17" s="18"/>
      <c r="D17" s="18"/>
      <c r="E17" s="18"/>
      <c r="F17" s="10"/>
      <c r="G17" s="10"/>
      <c r="H17" s="17">
        <v>42</v>
      </c>
      <c r="I17" s="27"/>
      <c r="J17" s="27"/>
    </row>
    <row r="18" spans="1:10" ht="12.75">
      <c r="A18" s="19">
        <v>48</v>
      </c>
      <c r="B18" s="20"/>
      <c r="C18" s="20"/>
      <c r="D18" s="20"/>
      <c r="E18" s="20"/>
      <c r="H18" s="19">
        <v>48</v>
      </c>
      <c r="I18" s="28"/>
      <c r="J18" s="28"/>
    </row>
    <row r="19" spans="1:6" s="6" customFormat="1" ht="11.25">
      <c r="A19" s="3" t="s">
        <v>6</v>
      </c>
      <c r="F19" s="10"/>
    </row>
    <row r="20" spans="1:6" s="6" customFormat="1" ht="11.25">
      <c r="A20" s="4" t="s">
        <v>60</v>
      </c>
      <c r="F20" s="10"/>
    </row>
    <row r="21" spans="1:6" s="6" customFormat="1" ht="11.25">
      <c r="A21" s="4" t="s">
        <v>61</v>
      </c>
      <c r="F21" s="10"/>
    </row>
    <row r="22" spans="1:6" s="6" customFormat="1" ht="11.25">
      <c r="A22" s="4" t="s">
        <v>59</v>
      </c>
      <c r="F22" s="10"/>
    </row>
    <row r="23" spans="1:10" s="6" customFormat="1" ht="12.75">
      <c r="A23" s="6" t="s">
        <v>62</v>
      </c>
      <c r="F23" s="10"/>
      <c r="H23" s="5" t="s">
        <v>49</v>
      </c>
      <c r="I23" s="31"/>
      <c r="J23" s="32"/>
    </row>
    <row r="24" spans="1:12" s="6" customFormat="1" ht="12.75">
      <c r="A24" s="6" t="s">
        <v>63</v>
      </c>
      <c r="F24" s="10"/>
      <c r="H24" s="184" t="s">
        <v>54</v>
      </c>
      <c r="I24" s="185"/>
      <c r="J24" s="32"/>
      <c r="K24" s="33">
        <f>'PVC vs DI'!H4</f>
        <v>15</v>
      </c>
      <c r="L24" s="3" t="s">
        <v>42</v>
      </c>
    </row>
    <row r="25" spans="1:12" s="6" customFormat="1" ht="12.75">
      <c r="A25" s="4" t="s">
        <v>64</v>
      </c>
      <c r="F25" s="10"/>
      <c r="H25" s="184" t="s">
        <v>45</v>
      </c>
      <c r="I25" s="185"/>
      <c r="J25" s="32"/>
      <c r="K25" s="34">
        <f>'PVC vs DI'!H5</f>
        <v>135</v>
      </c>
      <c r="L25" s="3" t="s">
        <v>41</v>
      </c>
    </row>
    <row r="26" spans="1:12" s="6" customFormat="1" ht="12.75">
      <c r="A26" s="4" t="s">
        <v>65</v>
      </c>
      <c r="F26" s="10"/>
      <c r="H26" s="184" t="s">
        <v>46</v>
      </c>
      <c r="I26" s="185"/>
      <c r="J26" s="32"/>
      <c r="K26" s="35" t="s">
        <v>40</v>
      </c>
      <c r="L26" s="3"/>
    </row>
    <row r="27" spans="1:12" s="6" customFormat="1" ht="12.75">
      <c r="A27" s="6" t="s">
        <v>66</v>
      </c>
      <c r="F27" s="10"/>
      <c r="H27" s="184" t="s">
        <v>47</v>
      </c>
      <c r="I27" s="185"/>
      <c r="J27" s="32"/>
      <c r="K27" s="36">
        <f>'PVC vs DI'!H7</f>
        <v>0</v>
      </c>
      <c r="L27" s="26" t="s">
        <v>43</v>
      </c>
    </row>
    <row r="28" spans="1:9" s="6" customFormat="1" ht="12.75">
      <c r="A28" s="6" t="s">
        <v>67</v>
      </c>
      <c r="F28" s="10"/>
      <c r="H28" s="184" t="s">
        <v>48</v>
      </c>
      <c r="I28" s="185"/>
    </row>
    <row r="29" spans="8:11" ht="12.75">
      <c r="H29" s="188"/>
      <c r="I29" s="189"/>
      <c r="K29" s="37">
        <f>IF(K27=0,(K24*K25*27)/2000,K27)</f>
        <v>27.3375</v>
      </c>
    </row>
    <row r="30" spans="1:8" ht="12.75">
      <c r="A30" s="5" t="s">
        <v>30</v>
      </c>
      <c r="H30" s="5"/>
    </row>
    <row r="31" spans="1:15" ht="22.5">
      <c r="A31" s="186" t="s">
        <v>31</v>
      </c>
      <c r="B31" s="187"/>
      <c r="C31" s="29" t="s">
        <v>52</v>
      </c>
      <c r="D31" s="29" t="s">
        <v>51</v>
      </c>
      <c r="E31" s="29" t="s">
        <v>50</v>
      </c>
      <c r="H31" s="29" t="s">
        <v>53</v>
      </c>
      <c r="I31" s="29" t="s">
        <v>55</v>
      </c>
      <c r="J31" s="30" t="s">
        <v>54</v>
      </c>
      <c r="K31" s="30" t="s">
        <v>45</v>
      </c>
      <c r="L31" s="30" t="s">
        <v>46</v>
      </c>
      <c r="M31" s="30" t="s">
        <v>47</v>
      </c>
      <c r="N31" s="30" t="s">
        <v>48</v>
      </c>
      <c r="O31" s="3"/>
    </row>
    <row r="32" spans="1:14" ht="12.75">
      <c r="A32" s="184" t="s">
        <v>32</v>
      </c>
      <c r="B32" s="184"/>
      <c r="C32" s="21">
        <v>3</v>
      </c>
      <c r="D32" s="22">
        <v>40.42</v>
      </c>
      <c r="E32" s="22">
        <f>C32*D32</f>
        <v>121.26</v>
      </c>
      <c r="H32" s="21">
        <v>4</v>
      </c>
      <c r="I32" s="25">
        <v>4.8</v>
      </c>
      <c r="J32" s="25">
        <f>((((I32+2*12)*(0+3))/144)/27)</f>
        <v>0.022222222222222227</v>
      </c>
      <c r="K32" s="25">
        <f>(((((I32+2*12)*((I32/2)+6))-((3.1415*(I32/2)^2)/2))/144)/27)</f>
        <v>0.05989518518518519</v>
      </c>
      <c r="L32" s="25">
        <f>(((((I32+2*12)*(I32+6))-(3.1415*(I32/2)^2))/144)/27)</f>
        <v>0.07534592592592594</v>
      </c>
      <c r="M32" s="25">
        <f>(((((I32+2*12)*(I32+6+6))-(3.1415*(I32/2)^2))/144)/27)</f>
        <v>0.11979037037037038</v>
      </c>
      <c r="N32" s="25">
        <f>(((((I32+2*12)*(I32+12+6))-(3.1415*(I32/2)^2))/144)/27)</f>
        <v>0.1642348148148148</v>
      </c>
    </row>
    <row r="33" spans="1:14" ht="12.75">
      <c r="A33" s="184" t="s">
        <v>33</v>
      </c>
      <c r="B33" s="184"/>
      <c r="C33" s="21">
        <v>3</v>
      </c>
      <c r="D33" s="22">
        <v>54.81</v>
      </c>
      <c r="E33" s="22">
        <f>C33*D33</f>
        <v>164.43</v>
      </c>
      <c r="H33" s="21">
        <v>6</v>
      </c>
      <c r="I33" s="25">
        <v>6.9</v>
      </c>
      <c r="J33" s="25">
        <f aca="true" t="shared" si="0" ref="J33:J45">((((I33+2*12)*(0+3))/144)/27)</f>
        <v>0.02384259259259259</v>
      </c>
      <c r="K33" s="25">
        <f aca="true" t="shared" si="1" ref="K33:K45">(((((I33+2*12)*((I33/2)+6))-((3.1415*(I33/2)^2)/2))/144)/27)</f>
        <v>0.07029556278935184</v>
      </c>
      <c r="L33" s="25">
        <f aca="true" t="shared" si="2" ref="L33:L45">(((((I33+2*12)*(I33+6))-(3.1415*(I33/2)^2))/144)/27)</f>
        <v>0.09290594039351852</v>
      </c>
      <c r="M33" s="25">
        <f aca="true" t="shared" si="3" ref="M33:M45">(((((I33+2*12)*(I33+6+6))-(3.1415*(I33/2)^2))/144)/27)</f>
        <v>0.14059112557870368</v>
      </c>
      <c r="N33" s="25">
        <f aca="true" t="shared" si="4" ref="N33:N45">(((((I33+2*12)*(I33+12+6))-(3.1415*(I33/2)^2))/144)/27)</f>
        <v>0.18827631076388887</v>
      </c>
    </row>
    <row r="34" spans="1:14" ht="12.75">
      <c r="A34" s="184" t="s">
        <v>56</v>
      </c>
      <c r="B34" s="184"/>
      <c r="C34" s="21">
        <v>1</v>
      </c>
      <c r="D34" s="22">
        <v>62.03</v>
      </c>
      <c r="E34" s="22">
        <f>C34*D34</f>
        <v>62.03</v>
      </c>
      <c r="H34" s="21">
        <v>8</v>
      </c>
      <c r="I34" s="25">
        <v>9.05</v>
      </c>
      <c r="J34" s="25">
        <f t="shared" si="0"/>
        <v>0.02550154320987654</v>
      </c>
      <c r="K34" s="25">
        <f t="shared" si="1"/>
        <v>0.0811957721273791</v>
      </c>
      <c r="L34" s="25">
        <f t="shared" si="2"/>
        <v>0.11138845783500513</v>
      </c>
      <c r="M34" s="25">
        <f t="shared" si="3"/>
        <v>0.1623915442547582</v>
      </c>
      <c r="N34" s="25">
        <f t="shared" si="4"/>
        <v>0.21339463067451128</v>
      </c>
    </row>
    <row r="35" spans="1:14" ht="12.75">
      <c r="A35" s="184" t="s">
        <v>34</v>
      </c>
      <c r="B35" s="184"/>
      <c r="C35" s="21">
        <v>2</v>
      </c>
      <c r="D35" s="22">
        <v>120</v>
      </c>
      <c r="E35" s="22">
        <f>C35*D35</f>
        <v>240</v>
      </c>
      <c r="H35" s="21">
        <v>10</v>
      </c>
      <c r="I35" s="25">
        <v>11.1</v>
      </c>
      <c r="J35" s="25">
        <f t="shared" si="0"/>
        <v>0.027083333333333334</v>
      </c>
      <c r="K35" s="25">
        <f t="shared" si="1"/>
        <v>0.09182663917824076</v>
      </c>
      <c r="L35" s="25">
        <f t="shared" si="2"/>
        <v>0.12948661168981485</v>
      </c>
      <c r="M35" s="25">
        <f t="shared" si="3"/>
        <v>0.18365327835648151</v>
      </c>
      <c r="N35" s="25">
        <f t="shared" si="4"/>
        <v>0.23781994502314815</v>
      </c>
    </row>
    <row r="36" spans="1:14" ht="12.75">
      <c r="A36" s="23" t="s">
        <v>35</v>
      </c>
      <c r="B36" s="23"/>
      <c r="C36" s="21">
        <v>1</v>
      </c>
      <c r="D36" s="22">
        <v>71</v>
      </c>
      <c r="E36" s="22">
        <f>C36*D36</f>
        <v>71</v>
      </c>
      <c r="H36" s="21">
        <v>12</v>
      </c>
      <c r="I36" s="25">
        <v>13.2</v>
      </c>
      <c r="J36" s="25">
        <f t="shared" si="0"/>
        <v>0.028703703703703703</v>
      </c>
      <c r="K36" s="25">
        <f t="shared" si="1"/>
        <v>0.10295733796296297</v>
      </c>
      <c r="L36" s="25">
        <f t="shared" si="2"/>
        <v>0.14850726851851853</v>
      </c>
      <c r="M36" s="25">
        <f t="shared" si="3"/>
        <v>0.20591467592592594</v>
      </c>
      <c r="N36" s="25">
        <f t="shared" si="4"/>
        <v>0.26332208333333335</v>
      </c>
    </row>
    <row r="37" spans="1:14" ht="12.75">
      <c r="A37" s="3" t="s">
        <v>6</v>
      </c>
      <c r="C37" s="2"/>
      <c r="D37" s="24" t="s">
        <v>36</v>
      </c>
      <c r="E37" s="22">
        <f>SUM(E32:E36)</f>
        <v>658.72</v>
      </c>
      <c r="H37" s="21">
        <v>14</v>
      </c>
      <c r="I37" s="25">
        <v>15.3</v>
      </c>
      <c r="J37" s="25">
        <f t="shared" si="0"/>
        <v>0.030324074074074073</v>
      </c>
      <c r="K37" s="25">
        <f t="shared" si="1"/>
        <v>0.11433147714120367</v>
      </c>
      <c r="L37" s="25">
        <f t="shared" si="2"/>
        <v>0.16801480613425923</v>
      </c>
      <c r="M37" s="25">
        <f t="shared" si="3"/>
        <v>0.22866295428240735</v>
      </c>
      <c r="N37" s="25">
        <f t="shared" si="4"/>
        <v>0.28931110243055547</v>
      </c>
    </row>
    <row r="38" spans="1:14" ht="12.75">
      <c r="A38" s="4" t="s">
        <v>37</v>
      </c>
      <c r="H38" s="21">
        <v>16</v>
      </c>
      <c r="I38" s="25">
        <v>17.4</v>
      </c>
      <c r="J38" s="25">
        <f t="shared" si="0"/>
        <v>0.03194444444444444</v>
      </c>
      <c r="K38" s="25">
        <f t="shared" si="1"/>
        <v>0.12594905671296294</v>
      </c>
      <c r="L38" s="25">
        <f t="shared" si="2"/>
        <v>0.18800922453703703</v>
      </c>
      <c r="M38" s="25">
        <f t="shared" si="3"/>
        <v>0.2518981134259259</v>
      </c>
      <c r="N38" s="25">
        <f t="shared" si="4"/>
        <v>0.3157870023148148</v>
      </c>
    </row>
    <row r="39" spans="1:14" s="41" customFormat="1" ht="11.25">
      <c r="A39" s="41" t="s">
        <v>57</v>
      </c>
      <c r="F39" s="42"/>
      <c r="H39" s="21">
        <v>18</v>
      </c>
      <c r="I39" s="25">
        <v>19.5</v>
      </c>
      <c r="J39" s="25">
        <f t="shared" si="0"/>
        <v>0.03356481481481482</v>
      </c>
      <c r="K39" s="25">
        <f t="shared" si="1"/>
        <v>0.13781007667824074</v>
      </c>
      <c r="L39" s="25">
        <f t="shared" si="2"/>
        <v>0.20849052372685187</v>
      </c>
      <c r="M39" s="25">
        <f t="shared" si="3"/>
        <v>0.2756201533564815</v>
      </c>
      <c r="N39" s="25">
        <f t="shared" si="4"/>
        <v>0.3427497829861111</v>
      </c>
    </row>
    <row r="40" spans="1:14" s="41" customFormat="1" ht="11.25">
      <c r="A40" s="41" t="s">
        <v>58</v>
      </c>
      <c r="F40" s="42"/>
      <c r="H40" s="21">
        <v>20</v>
      </c>
      <c r="I40" s="25">
        <v>21.6</v>
      </c>
      <c r="J40" s="25">
        <f t="shared" si="0"/>
        <v>0.03518518518518519</v>
      </c>
      <c r="K40" s="25">
        <f t="shared" si="1"/>
        <v>0.14991453703703705</v>
      </c>
      <c r="L40" s="25">
        <f t="shared" si="2"/>
        <v>0.22945870370370372</v>
      </c>
      <c r="M40" s="25">
        <f t="shared" si="3"/>
        <v>0.2998290740740741</v>
      </c>
      <c r="N40" s="25">
        <f t="shared" si="4"/>
        <v>0.3701994444444445</v>
      </c>
    </row>
    <row r="41" spans="8:14" ht="12.75">
      <c r="H41" s="21">
        <v>24</v>
      </c>
      <c r="I41" s="25">
        <v>25.8</v>
      </c>
      <c r="J41" s="25">
        <f t="shared" si="0"/>
        <v>0.03842592592592592</v>
      </c>
      <c r="K41" s="25">
        <f t="shared" si="1"/>
        <v>0.1748537789351852</v>
      </c>
      <c r="L41" s="25">
        <f t="shared" si="2"/>
        <v>0.27285570601851844</v>
      </c>
      <c r="M41" s="25">
        <f t="shared" si="3"/>
        <v>0.3497075578703704</v>
      </c>
      <c r="N41" s="25">
        <f t="shared" si="4"/>
        <v>0.4265594097222221</v>
      </c>
    </row>
    <row r="42" spans="8:14" ht="12.75">
      <c r="H42" s="21">
        <v>30</v>
      </c>
      <c r="I42" s="25">
        <v>32</v>
      </c>
      <c r="J42" s="25">
        <f t="shared" si="0"/>
        <v>0.04320987654320988</v>
      </c>
      <c r="K42" s="25">
        <f t="shared" si="1"/>
        <v>0.21344855967078188</v>
      </c>
      <c r="L42" s="25">
        <f t="shared" si="2"/>
        <v>0.34047736625514397</v>
      </c>
      <c r="M42" s="25">
        <f t="shared" si="3"/>
        <v>0.42689711934156377</v>
      </c>
      <c r="N42" s="25">
        <f t="shared" si="4"/>
        <v>0.5133168724279835</v>
      </c>
    </row>
    <row r="43" spans="8:14" ht="12.75">
      <c r="H43" s="21">
        <v>36</v>
      </c>
      <c r="I43" s="25">
        <v>38.3</v>
      </c>
      <c r="J43" s="25">
        <f t="shared" si="0"/>
        <v>0.04807098765432099</v>
      </c>
      <c r="K43" s="25">
        <f t="shared" si="1"/>
        <v>0.25483941181198555</v>
      </c>
      <c r="L43" s="25">
        <f t="shared" si="2"/>
        <v>0.4135368483153292</v>
      </c>
      <c r="M43" s="25">
        <f t="shared" si="3"/>
        <v>0.5096788236239711</v>
      </c>
      <c r="N43" s="25">
        <f t="shared" si="4"/>
        <v>0.6058207989326131</v>
      </c>
    </row>
    <row r="44" spans="8:14" ht="12.75">
      <c r="H44" s="21">
        <v>42</v>
      </c>
      <c r="I44" s="25">
        <v>44.5</v>
      </c>
      <c r="J44" s="25">
        <f t="shared" si="0"/>
        <v>0.05285493827160494</v>
      </c>
      <c r="K44" s="25">
        <f t="shared" si="1"/>
        <v>0.2977123400527263</v>
      </c>
      <c r="L44" s="25">
        <f t="shared" si="2"/>
        <v>0.4897148035622428</v>
      </c>
      <c r="M44" s="25">
        <f t="shared" si="3"/>
        <v>0.5954246801054526</v>
      </c>
      <c r="N44" s="25">
        <f t="shared" si="4"/>
        <v>0.7011345566486624</v>
      </c>
    </row>
    <row r="45" spans="8:14" ht="12.75">
      <c r="H45" s="44">
        <v>48</v>
      </c>
      <c r="I45" s="25">
        <v>50.8</v>
      </c>
      <c r="J45" s="25">
        <f t="shared" si="0"/>
        <v>0.057716049382716045</v>
      </c>
      <c r="K45" s="25">
        <f t="shared" si="1"/>
        <v>0.3434503420781892</v>
      </c>
      <c r="L45" s="25">
        <f t="shared" si="2"/>
        <v>0.5714685853909464</v>
      </c>
      <c r="M45" s="25">
        <f t="shared" si="3"/>
        <v>0.6869006841563784</v>
      </c>
      <c r="N45" s="25">
        <f t="shared" si="4"/>
        <v>0.8023327829218105</v>
      </c>
    </row>
    <row r="46" spans="8:14" ht="12.75">
      <c r="H46" s="31"/>
      <c r="I46" s="32"/>
      <c r="J46" s="38"/>
      <c r="K46" s="38"/>
      <c r="L46" s="38"/>
      <c r="M46" s="38"/>
      <c r="N46" s="38"/>
    </row>
    <row r="47" spans="8:9" ht="12.75">
      <c r="H47" s="40"/>
      <c r="I47" s="40"/>
    </row>
  </sheetData>
  <sheetProtection/>
  <mergeCells count="11">
    <mergeCell ref="A34:B34"/>
    <mergeCell ref="A35:B35"/>
    <mergeCell ref="A31:B31"/>
    <mergeCell ref="A32:B32"/>
    <mergeCell ref="H29:I29"/>
    <mergeCell ref="H24:I24"/>
    <mergeCell ref="H25:I25"/>
    <mergeCell ref="H26:I26"/>
    <mergeCell ref="H27:I27"/>
    <mergeCell ref="H28:I28"/>
    <mergeCell ref="A33:B33"/>
  </mergeCells>
  <printOptions/>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Manufacturing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jmuser</dc:creator>
  <cp:keywords/>
  <dc:description/>
  <cp:lastModifiedBy>Marcus Stanley Galindo</cp:lastModifiedBy>
  <cp:lastPrinted>2011-04-26T21:35:18Z</cp:lastPrinted>
  <dcterms:created xsi:type="dcterms:W3CDTF">2009-01-14T23:54:21Z</dcterms:created>
  <dcterms:modified xsi:type="dcterms:W3CDTF">2011-09-30T23:13:16Z</dcterms:modified>
  <cp:category/>
  <cp:version/>
  <cp:contentType/>
  <cp:contentStatus/>
</cp:coreProperties>
</file>